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595" windowHeight="8640" activeTab="0"/>
  </bookViews>
  <sheets>
    <sheet name="Accessoires &amp; autres" sheetId="1" r:id="rId1"/>
    <sheet name="Feuil1" sheetId="2" r:id="rId2"/>
  </sheets>
  <definedNames>
    <definedName name="_xlnm.Print_Area" localSheetId="0">'Accessoires &amp; autres'!$A$1:$U$361</definedName>
  </definedNames>
  <calcPr fullCalcOnLoad="1"/>
</workbook>
</file>

<file path=xl/sharedStrings.xml><?xml version="1.0" encoding="utf-8"?>
<sst xmlns="http://schemas.openxmlformats.org/spreadsheetml/2006/main" count="486" uniqueCount="266">
  <si>
    <t>Date</t>
  </si>
  <si>
    <t>Location</t>
  </si>
  <si>
    <t>Épiceries</t>
  </si>
  <si>
    <t>Restaurant</t>
  </si>
  <si>
    <t>Liquor Store</t>
  </si>
  <si>
    <t>Marina</t>
  </si>
  <si>
    <t>Eau</t>
  </si>
  <si>
    <t>Réparations</t>
  </si>
  <si>
    <t>Autes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</si>
  <si>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</si>
  <si>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</si>
  <si>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</si>
  <si>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</si>
  <si>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</si>
  <si>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</si>
  <si>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</si>
  <si>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</si>
  <si>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</si>
  <si>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</si>
  <si>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</si>
  <si>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</si>
  <si>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Heures moteur</t>
  </si>
  <si>
    <t>Lennox</t>
  </si>
  <si>
    <t>Transport</t>
  </si>
  <si>
    <t>Description</t>
  </si>
  <si>
    <t>Cellulaire</t>
  </si>
  <si>
    <t>Shelburn</t>
  </si>
  <si>
    <t>Convers Bay</t>
  </si>
  <si>
    <t>Ticonderoga</t>
  </si>
  <si>
    <t>Whitehall</t>
  </si>
  <si>
    <t>Fort Edward</t>
  </si>
  <si>
    <t>Pharmacie</t>
  </si>
  <si>
    <t>Peat-moss</t>
  </si>
  <si>
    <t>Méchanique Ville</t>
  </si>
  <si>
    <t>Houstallang Bai</t>
  </si>
  <si>
    <t>Kat Skill</t>
  </si>
  <si>
    <t>Kingston</t>
  </si>
  <si>
    <t>Imperméabilisant toile</t>
  </si>
  <si>
    <t>Creton Point</t>
  </si>
  <si>
    <t>New-York</t>
  </si>
  <si>
    <t>Sandy Hook</t>
  </si>
  <si>
    <t>Camera</t>
  </si>
  <si>
    <t>Metro</t>
  </si>
  <si>
    <t>Camera Batt + card</t>
  </si>
  <si>
    <t>Lavage</t>
  </si>
  <si>
    <t>Acc de pèche</t>
  </si>
  <si>
    <t>Atlantic City</t>
  </si>
  <si>
    <t>Sunset-Lake</t>
  </si>
  <si>
    <t>Wildwood</t>
  </si>
  <si>
    <t>tiket grande roues</t>
  </si>
  <si>
    <t>T-Shirt Wildwood</t>
  </si>
  <si>
    <t>Duck Tape</t>
  </si>
  <si>
    <t>Irène</t>
  </si>
  <si>
    <t>West-Marine</t>
  </si>
  <si>
    <t>Mooring</t>
  </si>
  <si>
    <t>Ocean-City</t>
  </si>
  <si>
    <t>Sunset Lake</t>
  </si>
  <si>
    <t>Cape-May Canion-Club</t>
  </si>
  <si>
    <t>Cape-May - Utch'S</t>
  </si>
  <si>
    <t>Ocean-City - Marlin Marina</t>
  </si>
  <si>
    <t>WM - Radio Shack</t>
  </si>
  <si>
    <t>West M</t>
  </si>
  <si>
    <t>Ace</t>
  </si>
  <si>
    <t>Ace + Walmart</t>
  </si>
  <si>
    <t>West-M</t>
  </si>
  <si>
    <t>West-M et Tony M.</t>
  </si>
  <si>
    <t>Tony M.</t>
  </si>
  <si>
    <t>10 livres</t>
  </si>
  <si>
    <t>Chasepeake City</t>
  </si>
  <si>
    <t>Sassafra River</t>
  </si>
  <si>
    <t>George Town Yacht Bassin</t>
  </si>
  <si>
    <t>Poche dinghi</t>
  </si>
  <si>
    <t>Baltimore</t>
  </si>
  <si>
    <t>Radio Shak + West-M</t>
  </si>
  <si>
    <t>Aquarium</t>
  </si>
  <si>
    <t>Lavage - West-M</t>
  </si>
  <si>
    <t>Annapolis - Spa Creek</t>
  </si>
  <si>
    <t>Annapolis - Back Creek</t>
  </si>
  <si>
    <t>Hardware</t>
  </si>
  <si>
    <t>Casquette Lou</t>
  </si>
  <si>
    <t>Fawcet - West-M</t>
  </si>
  <si>
    <t>Fawcet - True value - West-M</t>
  </si>
  <si>
    <t>E-Marine</t>
  </si>
  <si>
    <t>West-M - True V.</t>
  </si>
  <si>
    <t>Solomons</t>
  </si>
  <si>
    <t>Yocomico River</t>
  </si>
  <si>
    <t>Jackson Creek</t>
  </si>
  <si>
    <t>West-M - true V</t>
  </si>
  <si>
    <t>Norfolk</t>
  </si>
  <si>
    <t>Hampton River public piers</t>
  </si>
  <si>
    <t>Musée</t>
  </si>
  <si>
    <t>Nauticus Musé</t>
  </si>
  <si>
    <t>Welcome Station</t>
  </si>
  <si>
    <t>Elizabeth City</t>
  </si>
  <si>
    <t>Douches</t>
  </si>
  <si>
    <t>Cypress Swamp</t>
  </si>
  <si>
    <t>Pungo Creek</t>
  </si>
  <si>
    <t>Big Creek - South River</t>
  </si>
  <si>
    <t>Beaufort - Marina Town Creek</t>
  </si>
  <si>
    <t>Far Bahamas</t>
  </si>
  <si>
    <t>6 livres - Ace</t>
  </si>
  <si>
    <t>ICW mile 242</t>
  </si>
  <si>
    <t>Writghsville</t>
  </si>
  <si>
    <t>Calabash Creek</t>
  </si>
  <si>
    <t>Myrtle Beach - Marina Cocina</t>
  </si>
  <si>
    <t>George town - Sawpit River</t>
  </si>
  <si>
    <t>Distance Mn</t>
  </si>
  <si>
    <t>=</t>
  </si>
  <si>
    <t>0.8689741</t>
  </si>
  <si>
    <t>1 mile</t>
  </si>
  <si>
    <t>Mn</t>
  </si>
  <si>
    <t>Taxi - Walmart - maillots</t>
  </si>
  <si>
    <t>Charleston</t>
  </si>
  <si>
    <t>Fenwick Island mile 510</t>
  </si>
  <si>
    <t>Beaufort SC</t>
  </si>
  <si>
    <t xml:space="preserve">Douches </t>
  </si>
  <si>
    <t>Herb River</t>
  </si>
  <si>
    <t>New Tea Kettle</t>
  </si>
  <si>
    <t>St-Simon mile 676</t>
  </si>
  <si>
    <t>Cumberland Island mile 710</t>
  </si>
  <si>
    <t>Fernandina Beach</t>
  </si>
  <si>
    <t>Parc de Cumberland</t>
  </si>
  <si>
    <t>Pine Island</t>
  </si>
  <si>
    <t>Saint Augustine</t>
  </si>
  <si>
    <t>Lavage + Dinghi Doc + poste</t>
  </si>
  <si>
    <t>Wall M. - Autopart</t>
  </si>
  <si>
    <t>Waterway Gide 2112 Florida</t>
  </si>
  <si>
    <t>Rock House Creek</t>
  </si>
  <si>
    <t>Aligator Farm</t>
  </si>
  <si>
    <t>West M. - Huile Moteur Rotella</t>
  </si>
  <si>
    <t>Napa</t>
  </si>
  <si>
    <t>Titusville</t>
  </si>
  <si>
    <t>Melbourne</t>
  </si>
  <si>
    <t>2 pi-cu peat moss</t>
  </si>
  <si>
    <t>Buff Lou - RadioShack</t>
  </si>
  <si>
    <t>Location Auto - Cire</t>
  </si>
  <si>
    <t>Lavage - Dentiste</t>
  </si>
  <si>
    <t>Fort Pierce</t>
  </si>
  <si>
    <t>Lake Worth</t>
  </si>
  <si>
    <t>BAHAMAS</t>
  </si>
  <si>
    <t>West M.</t>
  </si>
  <si>
    <t>Freeport - Sunrise Marina</t>
  </si>
  <si>
    <t>Berry - Bullock Harbour</t>
  </si>
  <si>
    <t>Totaux</t>
  </si>
  <si>
    <t>Cummulatif</t>
  </si>
  <si>
    <t>Vêtements</t>
  </si>
  <si>
    <t>Qt (GalUS)</t>
  </si>
  <si>
    <t>795.8</t>
  </si>
  <si>
    <t>Berry - Chub Cay</t>
  </si>
  <si>
    <t>Nassau - Harbour View</t>
  </si>
  <si>
    <t>Équip de plongée</t>
  </si>
  <si>
    <t>Équip de plongée et pèche</t>
  </si>
  <si>
    <t>Sécurenet</t>
  </si>
  <si>
    <t>Nassau - Allan Cay</t>
  </si>
  <si>
    <t>lavage</t>
  </si>
  <si>
    <t>Allan Cay</t>
  </si>
  <si>
    <t>Allan Cay - Norman's Cay</t>
  </si>
  <si>
    <t>Norman's Cay - Skip Jack Point</t>
  </si>
  <si>
    <t>Norman's Cay - Battery Point</t>
  </si>
  <si>
    <t>Norman's Cay -Shroud Cay</t>
  </si>
  <si>
    <t>Shroud Cay - Warderick Wells Cay</t>
  </si>
  <si>
    <t>Warderick Wells</t>
  </si>
  <si>
    <t>Warderick Wells - Big Major's</t>
  </si>
  <si>
    <t>Big Major's - Compass Cay</t>
  </si>
  <si>
    <t xml:space="preserve"> Compass Cay - Sampson Cay</t>
  </si>
  <si>
    <t>Sampson Cay - Black Point</t>
  </si>
  <si>
    <t>Black Point - Staniel Cay</t>
  </si>
  <si>
    <t>Black Point</t>
  </si>
  <si>
    <t>Staniel Cay</t>
  </si>
  <si>
    <t>Staniel Cay - Cambridge Cay</t>
  </si>
  <si>
    <t>Cambridge Cay - Warderick Wells</t>
  </si>
  <si>
    <t>Warderick Wells Cay</t>
  </si>
  <si>
    <t>Warderick Wells Cay - Norman's Cay</t>
  </si>
  <si>
    <t>Norman's Cay - Highbourne Cay</t>
  </si>
  <si>
    <t>Norman's Cay - Skip Jack point</t>
  </si>
  <si>
    <t>Highbourne - Allan - Norman's Cay's</t>
  </si>
  <si>
    <t xml:space="preserve"> Norman's Cay - Warderick Wells Cay</t>
  </si>
  <si>
    <t>Warderick Wells - Shroud  - Norman's</t>
  </si>
  <si>
    <t>Norman's - Highbourne - Allan Cay</t>
  </si>
  <si>
    <t>Norman's</t>
  </si>
  <si>
    <t>Allan Cay - Nassau</t>
  </si>
  <si>
    <t>Nassau - Yacht Haven</t>
  </si>
  <si>
    <t>Nassau -Norman's Cay</t>
  </si>
  <si>
    <t>Norman's Cay - Staniel Cay</t>
  </si>
  <si>
    <t>Staniel Cay - Black Point</t>
  </si>
  <si>
    <t>Black Point - Little Farmer</t>
  </si>
  <si>
    <t>Little Farmer - Lee Stocking Island</t>
  </si>
  <si>
    <t>Lee Stocking Island - Georges Town</t>
  </si>
  <si>
    <t>Georges Town</t>
  </si>
  <si>
    <t>Georges Town - Long Island</t>
  </si>
  <si>
    <t>Long Island - Callabash Creek</t>
  </si>
  <si>
    <t>Long Island - Thompson Bay</t>
  </si>
  <si>
    <t>L.Island - Callabash à Thompson Bay</t>
  </si>
  <si>
    <t>L.Island - Thompson Bay à Callabash</t>
  </si>
  <si>
    <t>Long Island - Cat Island</t>
  </si>
  <si>
    <t>Cat Island - Black Point</t>
  </si>
  <si>
    <t>Staniel Cay - Norman's Cay</t>
  </si>
  <si>
    <t>Highbourne - Rose Island - Nassau</t>
  </si>
  <si>
    <t>Nassau - Harbour Club</t>
  </si>
  <si>
    <t>Diesel $</t>
  </si>
  <si>
    <t>Essence $</t>
  </si>
  <si>
    <t>Nassau - Allan's Cay</t>
  </si>
  <si>
    <t>Allan's Cay - Norman's Cay</t>
  </si>
  <si>
    <t>Norman's - Warderick Wells Cay</t>
  </si>
  <si>
    <t>Warderick - Big Majors - Staniel Cay</t>
  </si>
  <si>
    <t>Staniel - Rocky Dundass - Warderick</t>
  </si>
  <si>
    <t>Warderick - Shroud Cay - Norman's</t>
  </si>
  <si>
    <t>Highbourne - Nassau</t>
  </si>
  <si>
    <t>Nassau - Rose Island</t>
  </si>
  <si>
    <t>Rose Island</t>
  </si>
  <si>
    <t>Rose Island - Nassau</t>
  </si>
  <si>
    <t>Nassau Harbour Club</t>
  </si>
  <si>
    <t>Harbour Club</t>
  </si>
  <si>
    <t>Nassau - Norman' Cay</t>
  </si>
  <si>
    <t>Resto Staniel Cay</t>
  </si>
  <si>
    <t>Laverie</t>
  </si>
  <si>
    <t>Timbres</t>
  </si>
  <si>
    <t>Maillots de bain</t>
  </si>
  <si>
    <t>Couverture</t>
  </si>
  <si>
    <t>Crochets</t>
  </si>
  <si>
    <t>Bracelet Lou</t>
  </si>
  <si>
    <t>Gas auto Gilles et Colette</t>
  </si>
  <si>
    <t>Radio Shack - Pile de montre</t>
  </si>
  <si>
    <t>Norman' Cay - Highbourne</t>
  </si>
  <si>
    <t>Highbourne - Allan's Cay</t>
  </si>
  <si>
    <t>Allan's Cay - Rose Island - Nassau</t>
  </si>
  <si>
    <t>Nassau - Chubb Cay</t>
  </si>
  <si>
    <t>1048.3</t>
  </si>
  <si>
    <t>Chub Cay - Bimini</t>
  </si>
  <si>
    <t>Bimini</t>
  </si>
  <si>
    <t>Bimini - Miami</t>
  </si>
  <si>
    <t>Miami</t>
  </si>
  <si>
    <t>Miami - Haulover</t>
  </si>
  <si>
    <t>Haulover</t>
  </si>
  <si>
    <t>Haulover - Lac Boca Raton</t>
  </si>
  <si>
    <t>Lac Boca Raton - Lake Worth</t>
  </si>
  <si>
    <t>Lake Worth - Fort Pierce</t>
  </si>
  <si>
    <t xml:space="preserve">Fort Pierce - Palm Shore </t>
  </si>
  <si>
    <t>Palm Shore - Rock House Creek</t>
  </si>
  <si>
    <t>Rock House Creek - St-Augustine</t>
  </si>
  <si>
    <t>St-Augustine - Reed Island</t>
  </si>
  <si>
    <t>Reed Island -Jacksonville</t>
  </si>
  <si>
    <t>Jacksonville - Green Cove Spring Marina</t>
  </si>
  <si>
    <t>Buanderie</t>
  </si>
  <si>
    <t>Propane $</t>
  </si>
  <si>
    <t>Bouées de secour</t>
  </si>
  <si>
    <t>Bahamas divers</t>
  </si>
  <si>
    <t>Taxis</t>
  </si>
  <si>
    <t>Bracelets</t>
  </si>
  <si>
    <t>Réactiver le téléphone</t>
  </si>
  <si>
    <t>Taxis douanes</t>
  </si>
  <si>
    <t>Boutique</t>
  </si>
  <si>
    <t>Bouteille d'eau Ocean Race</t>
  </si>
  <si>
    <t xml:space="preserve">Boutique </t>
  </si>
  <si>
    <t>Cham Wow</t>
  </si>
  <si>
    <t>Communication</t>
  </si>
  <si>
    <t>Billet Train Jax-Mtr</t>
  </si>
  <si>
    <t>Green Cove Spring Marina</t>
  </si>
  <si>
    <t>Hôtel New York</t>
  </si>
  <si>
    <t>Comm.</t>
  </si>
  <si>
    <t>Stationnement + Universal St</t>
  </si>
  <si>
    <t>Skype</t>
  </si>
  <si>
    <t>WI-Fi - Bahamas Divers</t>
  </si>
  <si>
    <t>Skype - Quincaillerie</t>
  </si>
  <si>
    <t>COMPTE RENDUE DES DÉPENSES TRIBULL ( Lennox - Bahamas - Jacksonville) toutes devises confondues ajustement apprximatif + 5%</t>
  </si>
  <si>
    <t>Total x 5%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</si>
</sst>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$-C0C]d\ mmmm\ yyyy"/>
    <numFmt numFmtId="165" formatCode="[$-C0C]d\ mmmm\,\ yyyy;@"/>
    <numFmt numFmtId="166" formatCode="[$-F800]dddd\,\ mmmm\ dd\,\ yyyy"/>
    <numFmt numFmtId="167" formatCode="yyyy/mm/dd;@"/>
    <numFmt numFmtId="168" formatCode="mmm/yyyy"/>
    <numFmt numFmtId="169" formatCode="#,##0.00\ &quot;$&quot;"/>
    <numFmt numFmtId="170" formatCode="0.0"/>
    <numFmt numFmtId="171" formatCode="#,##0.000"/>
    <numFmt numFmtId="172" formatCode="#,##0.00\ _$"/>
  </numFmts>
  <fonts count="44">
    <font>
      <sz val="10"/>
      <name val="Arial"/>
      <family val="0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7">
    <xf numFmtId="0" fontId="0" fillId="0" borderId="0" xfId="0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169" fontId="0" fillId="0" borderId="0" xfId="0" applyNumberFormat="1" applyAlignment="1">
      <alignment horizontal="center"/>
    </xf>
    <xf numFmtId="169" fontId="1" fillId="0" borderId="0" xfId="0" applyNumberFormat="1" applyFont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9" fontId="0" fillId="0" borderId="11" xfId="0" applyNumberFormat="1" applyBorder="1" applyAlignment="1">
      <alignment horizontal="left"/>
    </xf>
    <xf numFmtId="170" fontId="0" fillId="0" borderId="0" xfId="0" applyNumberFormat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69" fontId="0" fillId="0" borderId="0" xfId="0" applyNumberFormat="1" applyAlignment="1">
      <alignment horizontal="left"/>
    </xf>
    <xf numFmtId="169" fontId="0" fillId="0" borderId="10" xfId="0" applyNumberFormat="1" applyFont="1" applyBorder="1" applyAlignment="1">
      <alignment horizontal="left"/>
    </xf>
    <xf numFmtId="169" fontId="0" fillId="0" borderId="11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0" fontId="0" fillId="0" borderId="0" xfId="0" applyNumberFormat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70" fontId="0" fillId="0" borderId="1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169" fontId="0" fillId="0" borderId="13" xfId="0" applyNumberForma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69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 vertical="center"/>
    </xf>
    <xf numFmtId="170" fontId="0" fillId="0" borderId="11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left"/>
    </xf>
    <xf numFmtId="2" fontId="0" fillId="0" borderId="0" xfId="0" applyNumberFormat="1" applyBorder="1" applyAlignment="1">
      <alignment horizontal="center" vertical="center"/>
    </xf>
    <xf numFmtId="169" fontId="0" fillId="0" borderId="11" xfId="0" applyNumberFormat="1" applyFont="1" applyBorder="1" applyAlignment="1">
      <alignment horizontal="center"/>
    </xf>
    <xf numFmtId="169" fontId="7" fillId="0" borderId="0" xfId="0" applyNumberFormat="1" applyFont="1" applyAlignment="1">
      <alignment horizontal="right"/>
    </xf>
    <xf numFmtId="169" fontId="4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V609"/>
  <sheetViews>
    <sheetView tabSelected="1" zoomScale="77" zoomScaleNormal="77" zoomScalePageLayoutView="0" workbookViewId="0" topLeftCell="A1">
      <pane xSplit="2" ySplit="3" topLeftCell="F3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1" sqref="T1"/>
    </sheetView>
  </sheetViews>
  <sheetFormatPr defaultColWidth="11.421875" defaultRowHeight="12.75"/>
  <cols>
    <col min="1" max="1" width="12.7109375" style="1" customWidth="1"/>
    <col min="2" max="2" width="35.7109375" style="5" customWidth="1"/>
    <col min="3" max="3" width="11.57421875" style="21" customWidth="1"/>
    <col min="4" max="4" width="12.57421875" style="14" customWidth="1"/>
    <col min="5" max="9" width="10.7109375" style="9" customWidth="1"/>
    <col min="10" max="10" width="10.7109375" style="37" customWidth="1"/>
    <col min="11" max="20" width="10.7109375" style="9" customWidth="1"/>
    <col min="21" max="21" width="25.7109375" style="17" customWidth="1"/>
    <col min="22" max="22" width="12.7109375" style="0" customWidth="1"/>
  </cols>
  <sheetData>
    <row r="1" spans="9:10" ht="19.5" customHeight="1">
      <c r="I1" s="10" t="s">
        <v>264</v>
      </c>
      <c r="J1" s="36"/>
    </row>
    <row r="2" ht="19.5" customHeight="1" thickBot="1"/>
    <row r="3" spans="1:21" ht="13.5" thickBot="1">
      <c r="A3" s="3" t="s">
        <v>0</v>
      </c>
      <c r="B3" s="6" t="s">
        <v>1</v>
      </c>
      <c r="C3" s="22" t="s">
        <v>106</v>
      </c>
      <c r="D3" s="15" t="s">
        <v>21</v>
      </c>
      <c r="E3" s="11" t="s">
        <v>2</v>
      </c>
      <c r="F3" s="11" t="s">
        <v>31</v>
      </c>
      <c r="G3" s="11" t="s">
        <v>3</v>
      </c>
      <c r="H3" s="11" t="s">
        <v>4</v>
      </c>
      <c r="I3" s="11" t="s">
        <v>199</v>
      </c>
      <c r="J3" s="38" t="s">
        <v>146</v>
      </c>
      <c r="K3" s="11" t="s">
        <v>200</v>
      </c>
      <c r="L3" s="11" t="s">
        <v>244</v>
      </c>
      <c r="M3" s="11" t="s">
        <v>5</v>
      </c>
      <c r="N3" s="11" t="s">
        <v>54</v>
      </c>
      <c r="O3" s="11" t="s">
        <v>6</v>
      </c>
      <c r="P3" s="11" t="s">
        <v>7</v>
      </c>
      <c r="Q3" s="11" t="s">
        <v>23</v>
      </c>
      <c r="R3" s="11" t="s">
        <v>259</v>
      </c>
      <c r="S3" s="11" t="s">
        <v>243</v>
      </c>
      <c r="T3" s="11" t="s">
        <v>8</v>
      </c>
      <c r="U3" s="18" t="s">
        <v>24</v>
      </c>
    </row>
    <row r="4" ht="13.5" thickBot="1"/>
    <row r="5" ht="13.5" thickBot="1">
      <c r="A5" s="3" t="s">
        <v>9</v>
      </c>
    </row>
    <row r="7" spans="1:21" ht="12.75">
      <c r="A7" s="2">
        <v>40756</v>
      </c>
      <c r="B7" s="7" t="s">
        <v>22</v>
      </c>
      <c r="C7" s="23">
        <v>0</v>
      </c>
      <c r="D7" s="16">
        <v>341.5</v>
      </c>
      <c r="E7" s="12"/>
      <c r="F7" s="12"/>
      <c r="G7" s="12"/>
      <c r="H7" s="12"/>
      <c r="I7" s="12"/>
      <c r="J7" s="39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</row>
    <row r="8" spans="1:22" ht="12.75">
      <c r="A8" s="2">
        <v>40757</v>
      </c>
      <c r="B8" s="7" t="s">
        <v>26</v>
      </c>
      <c r="C8" s="23">
        <v>40.4</v>
      </c>
      <c r="D8" s="16">
        <v>350.9</v>
      </c>
      <c r="E8" s="12">
        <v>35.66</v>
      </c>
      <c r="F8" s="12">
        <v>35.66</v>
      </c>
      <c r="G8" s="12"/>
      <c r="H8" s="12"/>
      <c r="I8" s="12"/>
      <c r="J8" s="39"/>
      <c r="K8" s="12"/>
      <c r="L8" s="12"/>
      <c r="M8" s="12"/>
      <c r="N8" s="12"/>
      <c r="O8" s="12"/>
      <c r="P8" s="12"/>
      <c r="Q8" s="12">
        <v>20</v>
      </c>
      <c r="R8" s="12">
        <v>50</v>
      </c>
      <c r="S8" s="12"/>
      <c r="T8" s="12"/>
      <c r="U8" s="19" t="s">
        <v>25</v>
      </c>
      <c r="V8">
        <v>4.3</v>
      </c>
    </row>
    <row r="9" spans="1:21" ht="12.75">
      <c r="A9" s="2">
        <v>40758</v>
      </c>
      <c r="B9" s="7" t="s">
        <v>26</v>
      </c>
      <c r="C9" s="23">
        <v>21.8</v>
      </c>
      <c r="D9" s="16">
        <v>355.5</v>
      </c>
      <c r="E9" s="12"/>
      <c r="F9" s="12"/>
      <c r="G9" s="12"/>
      <c r="H9" s="12"/>
      <c r="I9" s="12">
        <v>21.07</v>
      </c>
      <c r="J9" s="39">
        <v>21.07</v>
      </c>
      <c r="K9" s="12"/>
      <c r="L9" s="12"/>
      <c r="M9" s="12"/>
      <c r="N9" s="12"/>
      <c r="O9" s="12"/>
      <c r="P9" s="12">
        <v>190.27</v>
      </c>
      <c r="Q9" s="12"/>
      <c r="R9" s="12"/>
      <c r="S9" s="12"/>
      <c r="T9" s="12"/>
      <c r="U9" s="13"/>
    </row>
    <row r="10" spans="1:21" ht="12.75">
      <c r="A10" s="2">
        <v>40759</v>
      </c>
      <c r="B10" s="7" t="s">
        <v>27</v>
      </c>
      <c r="C10" s="23">
        <v>15.4</v>
      </c>
      <c r="D10" s="16">
        <v>359</v>
      </c>
      <c r="E10" s="12"/>
      <c r="F10" s="12"/>
      <c r="G10" s="12"/>
      <c r="H10" s="12"/>
      <c r="I10" s="12"/>
      <c r="J10" s="3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1:21" ht="12.75">
      <c r="A11" s="2">
        <v>40760</v>
      </c>
      <c r="B11" s="7" t="s">
        <v>28</v>
      </c>
      <c r="C11" s="23">
        <v>11</v>
      </c>
      <c r="D11" s="16">
        <v>361.3</v>
      </c>
      <c r="E11" s="12"/>
      <c r="F11" s="12"/>
      <c r="G11" s="12"/>
      <c r="H11" s="12"/>
      <c r="I11" s="12"/>
      <c r="J11" s="3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ht="12.75">
      <c r="A12" s="2">
        <v>40761</v>
      </c>
      <c r="B12" s="7" t="s">
        <v>29</v>
      </c>
      <c r="C12" s="23">
        <v>19</v>
      </c>
      <c r="D12" s="16">
        <v>366.1</v>
      </c>
      <c r="E12" s="12"/>
      <c r="F12" s="12"/>
      <c r="G12" s="12"/>
      <c r="H12" s="12"/>
      <c r="I12" s="12"/>
      <c r="J12" s="39"/>
      <c r="K12" s="12"/>
      <c r="L12" s="12"/>
      <c r="M12" s="12"/>
      <c r="N12" s="12"/>
      <c r="O12" s="12"/>
      <c r="P12" s="12"/>
      <c r="Q12" s="12">
        <v>15</v>
      </c>
      <c r="R12" s="12"/>
      <c r="S12" s="12"/>
      <c r="T12" s="12"/>
      <c r="U12" s="13"/>
    </row>
    <row r="13" spans="1:21" ht="12.75">
      <c r="A13" s="2">
        <v>40762</v>
      </c>
      <c r="B13" s="7" t="s">
        <v>30</v>
      </c>
      <c r="C13" s="23">
        <v>20</v>
      </c>
      <c r="D13" s="16">
        <v>371.4</v>
      </c>
      <c r="E13" s="12"/>
      <c r="F13" s="12">
        <v>3.23</v>
      </c>
      <c r="G13" s="12">
        <v>55.5</v>
      </c>
      <c r="H13" s="12"/>
      <c r="I13" s="12"/>
      <c r="J13" s="39"/>
      <c r="K13" s="12"/>
      <c r="L13" s="12"/>
      <c r="M13" s="12"/>
      <c r="N13" s="12"/>
      <c r="O13" s="12"/>
      <c r="P13" s="12"/>
      <c r="Q13" s="12">
        <v>15</v>
      </c>
      <c r="S13" s="12"/>
      <c r="U13" s="19"/>
    </row>
    <row r="14" spans="1:21" ht="12.75">
      <c r="A14" s="2">
        <v>40763</v>
      </c>
      <c r="B14" s="7" t="s">
        <v>33</v>
      </c>
      <c r="C14" s="23">
        <v>30</v>
      </c>
      <c r="D14" s="16">
        <v>378.8</v>
      </c>
      <c r="E14" s="12">
        <v>66.61</v>
      </c>
      <c r="F14" s="12"/>
      <c r="G14" s="12">
        <v>4.49</v>
      </c>
      <c r="H14" s="12">
        <f>12.99*3</f>
        <v>38.97</v>
      </c>
      <c r="I14" s="12"/>
      <c r="J14" s="39"/>
      <c r="K14" s="12"/>
      <c r="L14" s="12"/>
      <c r="M14" s="12"/>
      <c r="N14" s="12"/>
      <c r="O14" s="12"/>
      <c r="P14" s="12"/>
      <c r="Q14" s="12"/>
      <c r="R14" s="12"/>
      <c r="S14" s="12"/>
      <c r="T14" s="12">
        <f>5.34+1.5</f>
        <v>6.84</v>
      </c>
      <c r="U14" s="19" t="s">
        <v>32</v>
      </c>
    </row>
    <row r="15" spans="1:21" ht="12.75">
      <c r="A15" s="2">
        <v>40764</v>
      </c>
      <c r="B15" s="7" t="s">
        <v>34</v>
      </c>
      <c r="C15" s="23">
        <v>32</v>
      </c>
      <c r="D15" s="16">
        <v>385.5</v>
      </c>
      <c r="E15" s="12"/>
      <c r="F15" s="12"/>
      <c r="G15" s="12"/>
      <c r="H15" s="12"/>
      <c r="I15" s="12"/>
      <c r="J15" s="39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</row>
    <row r="16" spans="1:21" ht="12.75">
      <c r="A16" s="2">
        <v>40765</v>
      </c>
      <c r="B16" s="7" t="s">
        <v>35</v>
      </c>
      <c r="C16" s="23">
        <v>17.1</v>
      </c>
      <c r="D16" s="16">
        <v>389.6</v>
      </c>
      <c r="E16" s="12"/>
      <c r="F16" s="12"/>
      <c r="G16" s="12"/>
      <c r="H16" s="12"/>
      <c r="I16" s="12"/>
      <c r="J16" s="3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</row>
    <row r="17" spans="1:21" ht="12.75">
      <c r="A17" s="2">
        <v>40766</v>
      </c>
      <c r="B17" s="7" t="s">
        <v>35</v>
      </c>
      <c r="C17" s="23"/>
      <c r="D17" s="16"/>
      <c r="E17" s="12"/>
      <c r="F17" s="12"/>
      <c r="G17" s="12"/>
      <c r="H17" s="12"/>
      <c r="I17" s="12"/>
      <c r="J17" s="39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</row>
    <row r="18" spans="1:21" ht="12.75">
      <c r="A18" s="2">
        <v>40767</v>
      </c>
      <c r="B18" s="7" t="s">
        <v>35</v>
      </c>
      <c r="C18" s="23"/>
      <c r="D18" s="16"/>
      <c r="E18" s="12">
        <v>48.38</v>
      </c>
      <c r="F18" s="12"/>
      <c r="G18" s="12"/>
      <c r="H18" s="12"/>
      <c r="I18" s="12"/>
      <c r="J18" s="39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</row>
    <row r="19" spans="1:21" ht="12.75">
      <c r="A19" s="2">
        <v>40768</v>
      </c>
      <c r="B19" s="7" t="s">
        <v>36</v>
      </c>
      <c r="C19" s="23">
        <v>19.6</v>
      </c>
      <c r="D19" s="16">
        <v>394.4</v>
      </c>
      <c r="E19" s="12">
        <f>1.75+19.07</f>
        <v>20.82</v>
      </c>
      <c r="F19" s="12"/>
      <c r="G19" s="12"/>
      <c r="H19" s="12"/>
      <c r="I19" s="12"/>
      <c r="J19" s="39"/>
      <c r="K19" s="12"/>
      <c r="L19" s="12"/>
      <c r="M19" s="12">
        <v>252.54</v>
      </c>
      <c r="N19" s="12"/>
      <c r="O19" s="12"/>
      <c r="P19" s="12">
        <v>18.35</v>
      </c>
      <c r="Q19" s="12"/>
      <c r="R19" s="12"/>
      <c r="S19" s="12"/>
      <c r="T19" s="12"/>
      <c r="U19" s="19" t="s">
        <v>37</v>
      </c>
    </row>
    <row r="20" spans="1:21" ht="12.75">
      <c r="A20" s="2">
        <v>40769</v>
      </c>
      <c r="B20" s="7" t="s">
        <v>38</v>
      </c>
      <c r="C20" s="23">
        <v>49</v>
      </c>
      <c r="D20" s="16">
        <v>404.4</v>
      </c>
      <c r="E20" s="12"/>
      <c r="F20" s="12"/>
      <c r="G20" s="12"/>
      <c r="H20" s="12"/>
      <c r="I20" s="12"/>
      <c r="J20" s="3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</row>
    <row r="21" spans="1:21" ht="12.75">
      <c r="A21" s="2">
        <v>40770</v>
      </c>
      <c r="B21" s="7" t="s">
        <v>39</v>
      </c>
      <c r="C21" s="23">
        <v>25.6</v>
      </c>
      <c r="D21" s="16">
        <v>410.2</v>
      </c>
      <c r="E21" s="12"/>
      <c r="F21" s="12"/>
      <c r="G21" s="12"/>
      <c r="H21" s="12"/>
      <c r="I21" s="12"/>
      <c r="J21" s="39"/>
      <c r="K21" s="12"/>
      <c r="L21" s="12"/>
      <c r="M21" s="12"/>
      <c r="N21" s="12">
        <v>30</v>
      </c>
      <c r="O21" s="12"/>
      <c r="P21" s="12"/>
      <c r="Q21" s="12"/>
      <c r="R21" s="12"/>
      <c r="S21" s="12"/>
      <c r="T21" s="12">
        <v>527.03</v>
      </c>
      <c r="U21" s="19" t="s">
        <v>41</v>
      </c>
    </row>
    <row r="22" spans="1:21" ht="12.75">
      <c r="A22" s="2">
        <v>40771</v>
      </c>
      <c r="B22" s="7" t="s">
        <v>39</v>
      </c>
      <c r="C22" s="23"/>
      <c r="D22" s="16"/>
      <c r="E22" s="12">
        <v>17.66</v>
      </c>
      <c r="F22" s="12"/>
      <c r="G22" s="12">
        <v>8</v>
      </c>
      <c r="H22" s="12"/>
      <c r="I22" s="12"/>
      <c r="J22" s="39"/>
      <c r="K22" s="12"/>
      <c r="L22" s="12"/>
      <c r="M22" s="12"/>
      <c r="N22" s="12">
        <v>30</v>
      </c>
      <c r="O22" s="12"/>
      <c r="P22" s="12"/>
      <c r="Q22" s="12">
        <v>10</v>
      </c>
      <c r="R22" s="12"/>
      <c r="S22" s="12"/>
      <c r="T22" s="12"/>
      <c r="U22" s="19" t="s">
        <v>42</v>
      </c>
    </row>
    <row r="23" spans="1:21" ht="12.75">
      <c r="A23" s="2">
        <v>40772</v>
      </c>
      <c r="B23" s="7" t="s">
        <v>39</v>
      </c>
      <c r="C23" s="23"/>
      <c r="D23" s="16"/>
      <c r="E23" s="12">
        <v>16.42</v>
      </c>
      <c r="F23" s="12"/>
      <c r="G23" s="12">
        <v>10</v>
      </c>
      <c r="H23" s="12"/>
      <c r="I23" s="12"/>
      <c r="J23" s="39"/>
      <c r="K23" s="12"/>
      <c r="L23" s="12"/>
      <c r="M23" s="12"/>
      <c r="N23" s="12">
        <v>30</v>
      </c>
      <c r="O23" s="12"/>
      <c r="P23" s="12"/>
      <c r="Q23" s="12"/>
      <c r="R23" s="12"/>
      <c r="S23" s="12"/>
      <c r="T23" s="12">
        <f>115+90</f>
        <v>205</v>
      </c>
      <c r="U23" s="19" t="s">
        <v>43</v>
      </c>
    </row>
    <row r="24" spans="1:21" ht="12.75">
      <c r="A24" s="2">
        <v>40773</v>
      </c>
      <c r="B24" s="7" t="s">
        <v>40</v>
      </c>
      <c r="C24" s="23">
        <v>24.9</v>
      </c>
      <c r="D24" s="16">
        <v>418.9</v>
      </c>
      <c r="E24" s="12"/>
      <c r="F24" s="12"/>
      <c r="G24" s="12"/>
      <c r="H24" s="12"/>
      <c r="I24" s="12"/>
      <c r="J24" s="39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/>
    </row>
    <row r="25" spans="1:21" ht="12.75">
      <c r="A25" s="2">
        <v>40774</v>
      </c>
      <c r="B25" s="7" t="s">
        <v>40</v>
      </c>
      <c r="C25" s="23"/>
      <c r="D25" s="16"/>
      <c r="E25" s="12">
        <f>2.56+6.41</f>
        <v>8.97</v>
      </c>
      <c r="F25" s="12"/>
      <c r="G25" s="12">
        <v>10.4</v>
      </c>
      <c r="H25" s="12"/>
      <c r="I25" s="12">
        <v>67.2</v>
      </c>
      <c r="J25" s="39">
        <v>19.137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</row>
    <row r="26" spans="1:21" ht="12.75">
      <c r="A26" s="2">
        <v>40775</v>
      </c>
      <c r="B26" s="7" t="s">
        <v>40</v>
      </c>
      <c r="C26" s="23"/>
      <c r="D26" s="16"/>
      <c r="E26" s="12">
        <v>47.53</v>
      </c>
      <c r="F26" s="12">
        <v>14.07</v>
      </c>
      <c r="G26" s="12"/>
      <c r="H26" s="12"/>
      <c r="I26" s="12"/>
      <c r="J26" s="39"/>
      <c r="K26" s="12"/>
      <c r="L26" s="12"/>
      <c r="M26" s="12"/>
      <c r="N26" s="12"/>
      <c r="O26" s="12"/>
      <c r="P26" s="12">
        <v>1.27</v>
      </c>
      <c r="Q26" s="12"/>
      <c r="R26" s="12"/>
      <c r="S26" s="12">
        <v>6.5</v>
      </c>
      <c r="T26" s="12"/>
      <c r="U26" s="19" t="s">
        <v>44</v>
      </c>
    </row>
    <row r="27" spans="1:21" ht="12.75">
      <c r="A27" s="2">
        <v>40776</v>
      </c>
      <c r="B27" s="7" t="s">
        <v>40</v>
      </c>
      <c r="C27" s="23"/>
      <c r="D27" s="16"/>
      <c r="E27" s="12"/>
      <c r="F27" s="12"/>
      <c r="G27" s="12"/>
      <c r="H27" s="12"/>
      <c r="I27" s="12"/>
      <c r="J27" s="39"/>
      <c r="K27" s="12"/>
      <c r="L27" s="12"/>
      <c r="M27" s="12"/>
      <c r="N27" s="12"/>
      <c r="O27" s="12"/>
      <c r="P27" s="12"/>
      <c r="Q27" s="12"/>
      <c r="R27" s="12"/>
      <c r="S27" s="12"/>
      <c r="T27" s="12">
        <v>27.7</v>
      </c>
      <c r="U27" s="19" t="s">
        <v>45</v>
      </c>
    </row>
    <row r="28" spans="1:22" ht="12.75">
      <c r="A28" s="2">
        <v>40777</v>
      </c>
      <c r="B28" s="7" t="s">
        <v>40</v>
      </c>
      <c r="C28" s="23"/>
      <c r="D28" s="16"/>
      <c r="E28" s="12"/>
      <c r="F28" s="12"/>
      <c r="G28" s="12"/>
      <c r="H28" s="12"/>
      <c r="I28" s="12"/>
      <c r="J28" s="39"/>
      <c r="K28" s="12"/>
      <c r="L28" s="12"/>
      <c r="M28" s="12"/>
      <c r="N28" s="12"/>
      <c r="O28" s="12"/>
      <c r="P28" s="12">
        <v>15.56</v>
      </c>
      <c r="Q28" s="12"/>
      <c r="R28" s="12"/>
      <c r="S28" s="12"/>
      <c r="T28" s="12"/>
      <c r="U28" s="19"/>
      <c r="V28" s="16"/>
    </row>
    <row r="29" spans="1:21" ht="12.75">
      <c r="A29" s="2">
        <v>40778</v>
      </c>
      <c r="B29" s="7" t="s">
        <v>46</v>
      </c>
      <c r="C29" s="21">
        <v>88.1</v>
      </c>
      <c r="D29" s="16">
        <v>429.1</v>
      </c>
      <c r="E29" s="12"/>
      <c r="F29" s="12"/>
      <c r="G29" s="12"/>
      <c r="H29" s="12"/>
      <c r="I29" s="12"/>
      <c r="J29" s="39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"/>
    </row>
    <row r="30" spans="1:21" ht="12.75">
      <c r="A30" s="2">
        <v>40779</v>
      </c>
      <c r="B30" s="7" t="s">
        <v>47</v>
      </c>
      <c r="C30" s="23">
        <v>43.9</v>
      </c>
      <c r="D30" s="16">
        <v>443.6</v>
      </c>
      <c r="E30" s="12"/>
      <c r="F30" s="12"/>
      <c r="G30" s="12"/>
      <c r="H30" s="12"/>
      <c r="I30" s="12"/>
      <c r="J30" s="39"/>
      <c r="K30" s="12"/>
      <c r="L30" s="12"/>
      <c r="M30" s="12"/>
      <c r="N30" s="12"/>
      <c r="O30" s="12"/>
      <c r="P30" s="12"/>
      <c r="Q30" s="12"/>
      <c r="R30" s="12"/>
      <c r="S30" s="12"/>
      <c r="T30" s="12">
        <v>5</v>
      </c>
      <c r="U30" s="19" t="s">
        <v>50</v>
      </c>
    </row>
    <row r="31" spans="1:21" ht="12.75">
      <c r="A31" s="2">
        <v>40780</v>
      </c>
      <c r="B31" s="7" t="s">
        <v>48</v>
      </c>
      <c r="C31" s="23"/>
      <c r="D31" s="16"/>
      <c r="E31" s="12"/>
      <c r="F31" s="12"/>
      <c r="G31" s="12"/>
      <c r="H31" s="12"/>
      <c r="I31" s="12"/>
      <c r="J31" s="39"/>
      <c r="K31" s="12"/>
      <c r="L31" s="12"/>
      <c r="M31" s="12"/>
      <c r="N31" s="12"/>
      <c r="O31" s="12"/>
      <c r="P31" s="12"/>
      <c r="Q31" s="12"/>
      <c r="R31" s="12"/>
      <c r="S31" s="12"/>
      <c r="T31" s="12">
        <v>9.5</v>
      </c>
      <c r="U31" s="19" t="s">
        <v>49</v>
      </c>
    </row>
    <row r="32" spans="1:21" ht="12.75">
      <c r="A32" s="2">
        <v>40781</v>
      </c>
      <c r="B32" s="7" t="s">
        <v>58</v>
      </c>
      <c r="C32" s="23">
        <v>5.1</v>
      </c>
      <c r="D32" s="16">
        <v>444.9</v>
      </c>
      <c r="E32" s="12"/>
      <c r="F32" s="12"/>
      <c r="G32" s="12"/>
      <c r="H32" s="12"/>
      <c r="I32" s="12"/>
      <c r="J32" s="39"/>
      <c r="K32" s="12"/>
      <c r="L32" s="12"/>
      <c r="M32" s="12"/>
      <c r="N32" s="12"/>
      <c r="O32" s="12"/>
      <c r="Q32" s="12"/>
      <c r="R32" s="12"/>
      <c r="S32" s="12"/>
      <c r="T32" s="12">
        <v>9.58</v>
      </c>
      <c r="U32" s="19" t="s">
        <v>51</v>
      </c>
    </row>
    <row r="33" spans="1:21" ht="12.75">
      <c r="A33" s="2">
        <v>40782</v>
      </c>
      <c r="B33" s="7" t="s">
        <v>58</v>
      </c>
      <c r="C33" s="23"/>
      <c r="D33" s="16"/>
      <c r="E33" s="12"/>
      <c r="F33" s="12"/>
      <c r="G33" s="12"/>
      <c r="H33" s="12"/>
      <c r="I33" s="12"/>
      <c r="J33" s="39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9" t="s">
        <v>52</v>
      </c>
    </row>
    <row r="34" spans="1:21" ht="12.75">
      <c r="A34" s="2">
        <v>40783</v>
      </c>
      <c r="B34" s="7" t="s">
        <v>58</v>
      </c>
      <c r="C34" s="23"/>
      <c r="D34" s="16"/>
      <c r="E34" s="12"/>
      <c r="F34" s="12"/>
      <c r="G34" s="12"/>
      <c r="H34" s="12"/>
      <c r="I34" s="12"/>
      <c r="J34" s="39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9" t="s">
        <v>52</v>
      </c>
    </row>
    <row r="35" spans="1:21" ht="12.75">
      <c r="A35" s="2">
        <v>40784</v>
      </c>
      <c r="B35" s="7" t="s">
        <v>58</v>
      </c>
      <c r="C35" s="23"/>
      <c r="D35" s="16"/>
      <c r="E35" s="12">
        <v>48.13</v>
      </c>
      <c r="F35" s="12"/>
      <c r="G35" s="12"/>
      <c r="H35" s="12">
        <f>43.81+122.13</f>
        <v>165.94</v>
      </c>
      <c r="I35" s="12"/>
      <c r="J35" s="39"/>
      <c r="K35" s="12"/>
      <c r="L35" s="12"/>
      <c r="M35" s="12">
        <v>174</v>
      </c>
      <c r="N35" s="12"/>
      <c r="O35" s="12"/>
      <c r="P35" s="12">
        <v>155.06</v>
      </c>
      <c r="Q35" s="12"/>
      <c r="R35" s="12"/>
      <c r="S35" s="12"/>
      <c r="T35" s="12"/>
      <c r="U35" s="19" t="s">
        <v>53</v>
      </c>
    </row>
    <row r="36" spans="1:21" ht="12.75">
      <c r="A36" s="2">
        <v>40785</v>
      </c>
      <c r="B36" s="7" t="s">
        <v>59</v>
      </c>
      <c r="C36" s="23"/>
      <c r="D36" s="16"/>
      <c r="E36" s="12"/>
      <c r="F36" s="12"/>
      <c r="G36" s="12"/>
      <c r="H36" s="12"/>
      <c r="I36" s="12"/>
      <c r="J36" s="39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3"/>
    </row>
    <row r="37" spans="1:21" ht="13.5" thickBot="1">
      <c r="A37" s="2">
        <v>40786</v>
      </c>
      <c r="B37" s="7" t="s">
        <v>55</v>
      </c>
      <c r="C37" s="26"/>
      <c r="D37" s="16"/>
      <c r="E37" s="12"/>
      <c r="F37" s="12"/>
      <c r="G37" s="12">
        <v>11.59</v>
      </c>
      <c r="H37" s="12"/>
      <c r="I37" s="12">
        <v>54.33</v>
      </c>
      <c r="J37" s="39"/>
      <c r="K37" s="12"/>
      <c r="L37" s="12"/>
      <c r="M37" s="12">
        <v>128</v>
      </c>
      <c r="N37" s="12"/>
      <c r="O37" s="12"/>
      <c r="P37" s="12">
        <v>12.7</v>
      </c>
      <c r="Q37" s="12"/>
      <c r="R37" s="12"/>
      <c r="S37" s="12"/>
      <c r="T37" s="12"/>
      <c r="U37" s="28"/>
    </row>
    <row r="38" spans="1:21" ht="13.5" thickBot="1">
      <c r="A38" s="4" t="s">
        <v>143</v>
      </c>
      <c r="B38" s="20"/>
      <c r="C38" s="27">
        <f>SUM(C7:C37)</f>
        <v>462.9</v>
      </c>
      <c r="D38" s="27">
        <f>D32-D7</f>
        <v>103.39999999999998</v>
      </c>
      <c r="E38" s="31">
        <f aca="true" t="shared" si="0" ref="E38:T38">SUM(E7:E37)</f>
        <v>310.18</v>
      </c>
      <c r="F38" s="31">
        <f t="shared" si="0"/>
        <v>52.959999999999994</v>
      </c>
      <c r="G38" s="31">
        <f t="shared" si="0"/>
        <v>99.98000000000002</v>
      </c>
      <c r="H38" s="31">
        <f t="shared" si="0"/>
        <v>204.91</v>
      </c>
      <c r="I38" s="31">
        <f t="shared" si="0"/>
        <v>142.60000000000002</v>
      </c>
      <c r="J38" s="40">
        <f t="shared" si="0"/>
        <v>40.207</v>
      </c>
      <c r="K38" s="31">
        <f t="shared" si="0"/>
        <v>0</v>
      </c>
      <c r="L38" s="31">
        <f t="shared" si="0"/>
        <v>0</v>
      </c>
      <c r="M38" s="31">
        <f t="shared" si="0"/>
        <v>554.54</v>
      </c>
      <c r="N38" s="31">
        <f t="shared" si="0"/>
        <v>90</v>
      </c>
      <c r="O38" s="31">
        <f t="shared" si="0"/>
        <v>0</v>
      </c>
      <c r="P38" s="31">
        <f t="shared" si="0"/>
        <v>393.21</v>
      </c>
      <c r="Q38" s="31">
        <f t="shared" si="0"/>
        <v>60</v>
      </c>
      <c r="R38" s="31">
        <f>SUM(R7:R37)</f>
        <v>50</v>
      </c>
      <c r="S38" s="31">
        <f>SUM(S7:S37)</f>
        <v>6.5</v>
      </c>
      <c r="T38" s="31">
        <f t="shared" si="0"/>
        <v>790.6500000000001</v>
      </c>
      <c r="U38" s="29">
        <f>SUM(E38:T38)-J38</f>
        <v>2755.53</v>
      </c>
    </row>
    <row r="39" spans="1:21" ht="13.5" thickBot="1">
      <c r="A39" s="4" t="s">
        <v>144</v>
      </c>
      <c r="B39" s="20"/>
      <c r="C39" s="27">
        <f>C38</f>
        <v>462.9</v>
      </c>
      <c r="D39" s="27">
        <f>D38</f>
        <v>103.39999999999998</v>
      </c>
      <c r="E39" s="31">
        <f aca="true" t="shared" si="1" ref="E39:T39">E38</f>
        <v>310.18</v>
      </c>
      <c r="F39" s="31">
        <f t="shared" si="1"/>
        <v>52.959999999999994</v>
      </c>
      <c r="G39" s="31">
        <f t="shared" si="1"/>
        <v>99.98000000000002</v>
      </c>
      <c r="H39" s="31">
        <f t="shared" si="1"/>
        <v>204.91</v>
      </c>
      <c r="I39" s="31">
        <f t="shared" si="1"/>
        <v>142.60000000000002</v>
      </c>
      <c r="J39" s="40">
        <f t="shared" si="1"/>
        <v>40.207</v>
      </c>
      <c r="K39" s="31">
        <f t="shared" si="1"/>
        <v>0</v>
      </c>
      <c r="L39" s="31">
        <f t="shared" si="1"/>
        <v>0</v>
      </c>
      <c r="M39" s="31">
        <f t="shared" si="1"/>
        <v>554.54</v>
      </c>
      <c r="N39" s="31">
        <f t="shared" si="1"/>
        <v>90</v>
      </c>
      <c r="O39" s="31">
        <f t="shared" si="1"/>
        <v>0</v>
      </c>
      <c r="P39" s="31">
        <f t="shared" si="1"/>
        <v>393.21</v>
      </c>
      <c r="Q39" s="31">
        <f t="shared" si="1"/>
        <v>60</v>
      </c>
      <c r="R39" s="31">
        <f>R38</f>
        <v>50</v>
      </c>
      <c r="S39" s="31">
        <f>S38</f>
        <v>6.5</v>
      </c>
      <c r="T39" s="31">
        <f t="shared" si="1"/>
        <v>790.6500000000001</v>
      </c>
      <c r="U39" s="29">
        <f>SUM(E39:T39)-J39</f>
        <v>2755.53</v>
      </c>
    </row>
    <row r="40" ht="13.5" thickBot="1">
      <c r="A40" s="2"/>
    </row>
    <row r="41" ht="13.5" thickBot="1">
      <c r="A41" s="3" t="s">
        <v>10</v>
      </c>
    </row>
    <row r="42" ht="12.75">
      <c r="A42" s="2"/>
    </row>
    <row r="43" spans="1:21" ht="12.75">
      <c r="A43" s="2">
        <v>40787</v>
      </c>
      <c r="B43" s="7" t="s">
        <v>57</v>
      </c>
      <c r="C43" s="23">
        <v>44.2</v>
      </c>
      <c r="D43" s="16">
        <v>461.4</v>
      </c>
      <c r="E43" s="12"/>
      <c r="F43" s="12"/>
      <c r="G43" s="12"/>
      <c r="H43" s="12"/>
      <c r="I43" s="12"/>
      <c r="J43" s="39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/>
    </row>
    <row r="44" spans="1:21" ht="12.75">
      <c r="A44" s="2">
        <v>40788</v>
      </c>
      <c r="B44" s="7" t="s">
        <v>57</v>
      </c>
      <c r="C44" s="23"/>
      <c r="D44" s="16"/>
      <c r="E44" s="12"/>
      <c r="F44" s="12"/>
      <c r="G44" s="12"/>
      <c r="H44" s="12"/>
      <c r="I44" s="12"/>
      <c r="J44" s="39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3"/>
    </row>
    <row r="45" spans="1:21" ht="12.75">
      <c r="A45" s="2">
        <v>40789</v>
      </c>
      <c r="B45" s="7" t="s">
        <v>57</v>
      </c>
      <c r="C45" s="23"/>
      <c r="D45" s="16"/>
      <c r="E45" s="12">
        <v>63.16</v>
      </c>
      <c r="F45" s="12"/>
      <c r="G45" s="12"/>
      <c r="H45" s="12">
        <v>23.53</v>
      </c>
      <c r="I45" s="12"/>
      <c r="J45" s="39"/>
      <c r="K45" s="12"/>
      <c r="L45" s="12"/>
      <c r="M45" s="12"/>
      <c r="N45" s="12"/>
      <c r="O45" s="12"/>
      <c r="P45" s="12">
        <v>161.54</v>
      </c>
      <c r="Q45" s="12"/>
      <c r="R45" s="12">
        <v>15</v>
      </c>
      <c r="S45" s="12"/>
      <c r="T45" s="12">
        <v>47.79</v>
      </c>
      <c r="U45" s="19" t="s">
        <v>60</v>
      </c>
    </row>
    <row r="46" spans="1:21" ht="12.75">
      <c r="A46" s="2">
        <v>40790</v>
      </c>
      <c r="B46" s="7" t="s">
        <v>57</v>
      </c>
      <c r="C46" s="23"/>
      <c r="D46" s="16"/>
      <c r="E46" s="12"/>
      <c r="F46" s="12"/>
      <c r="G46" s="12"/>
      <c r="H46" s="12"/>
      <c r="I46" s="12"/>
      <c r="J46" s="39"/>
      <c r="K46" s="12"/>
      <c r="L46" s="12"/>
      <c r="M46" s="12"/>
      <c r="N46" s="12"/>
      <c r="O46" s="12"/>
      <c r="P46" s="12"/>
      <c r="Q46" s="12"/>
      <c r="R46" s="12"/>
      <c r="S46" s="12">
        <v>5</v>
      </c>
      <c r="T46" s="12"/>
      <c r="U46" s="19" t="s">
        <v>44</v>
      </c>
    </row>
    <row r="47" spans="1:21" ht="12.75">
      <c r="A47" s="2">
        <v>40791</v>
      </c>
      <c r="B47" s="7" t="s">
        <v>57</v>
      </c>
      <c r="C47" s="23"/>
      <c r="D47" s="16"/>
      <c r="E47" s="12"/>
      <c r="F47" s="12"/>
      <c r="G47" s="12"/>
      <c r="H47" s="12"/>
      <c r="I47" s="12"/>
      <c r="J47" s="39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3"/>
    </row>
    <row r="48" spans="1:21" ht="12.75">
      <c r="A48" s="2">
        <v>40792</v>
      </c>
      <c r="B48" s="7" t="s">
        <v>57</v>
      </c>
      <c r="C48" s="23"/>
      <c r="D48" s="16"/>
      <c r="E48" s="12">
        <v>2.75</v>
      </c>
      <c r="F48" s="12"/>
      <c r="G48" s="12"/>
      <c r="H48" s="12"/>
      <c r="I48" s="12"/>
      <c r="J48" s="39"/>
      <c r="K48" s="12"/>
      <c r="L48" s="12"/>
      <c r="M48" s="12"/>
      <c r="N48" s="12"/>
      <c r="O48" s="12"/>
      <c r="P48" s="12">
        <f>29.39+20.94+56.31</f>
        <v>106.64</v>
      </c>
      <c r="Q48" s="12"/>
      <c r="R48" s="12"/>
      <c r="S48" s="12"/>
      <c r="T48" s="12"/>
      <c r="U48" s="19" t="s">
        <v>65</v>
      </c>
    </row>
    <row r="49" spans="1:21" ht="12.75">
      <c r="A49" s="2">
        <v>40793</v>
      </c>
      <c r="B49" s="7" t="s">
        <v>57</v>
      </c>
      <c r="C49" s="23"/>
      <c r="D49" s="16"/>
      <c r="E49" s="12"/>
      <c r="F49" s="12"/>
      <c r="G49" s="12"/>
      <c r="H49" s="12"/>
      <c r="I49" s="12"/>
      <c r="J49" s="39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3"/>
    </row>
    <row r="50" spans="1:21" ht="12.75">
      <c r="A50" s="2">
        <v>40794</v>
      </c>
      <c r="B50" s="7" t="s">
        <v>57</v>
      </c>
      <c r="C50" s="23"/>
      <c r="D50" s="16"/>
      <c r="E50" s="12"/>
      <c r="F50" s="12"/>
      <c r="G50" s="12"/>
      <c r="H50" s="12"/>
      <c r="I50" s="12"/>
      <c r="J50" s="39"/>
      <c r="K50" s="12"/>
      <c r="L50" s="12"/>
      <c r="M50" s="12"/>
      <c r="N50" s="12"/>
      <c r="O50" s="12"/>
      <c r="P50" s="12">
        <f>-9.62+41.41</f>
        <v>31.79</v>
      </c>
      <c r="Q50" s="12"/>
      <c r="R50" s="12"/>
      <c r="S50" s="12"/>
      <c r="T50" s="12"/>
      <c r="U50" s="19" t="s">
        <v>66</v>
      </c>
    </row>
    <row r="51" spans="1:21" ht="12.75">
      <c r="A51" s="2">
        <v>40795</v>
      </c>
      <c r="B51" s="7" t="s">
        <v>57</v>
      </c>
      <c r="C51" s="23"/>
      <c r="D51" s="16"/>
      <c r="E51" s="12">
        <v>56.19</v>
      </c>
      <c r="F51" s="12"/>
      <c r="G51" s="12"/>
      <c r="H51" s="12"/>
      <c r="I51" s="12"/>
      <c r="J51" s="39"/>
      <c r="K51" s="12"/>
      <c r="L51" s="12"/>
      <c r="M51" s="12"/>
      <c r="N51" s="12"/>
      <c r="O51" s="12"/>
      <c r="P51" s="12">
        <v>69.36</v>
      </c>
      <c r="Q51" s="12"/>
      <c r="R51" s="12"/>
      <c r="S51" s="12"/>
      <c r="T51" s="12"/>
      <c r="U51" s="13"/>
    </row>
    <row r="52" spans="1:21" ht="12.75">
      <c r="A52" s="2">
        <v>40796</v>
      </c>
      <c r="B52" s="7" t="s">
        <v>57</v>
      </c>
      <c r="C52" s="23"/>
      <c r="D52" s="16"/>
      <c r="E52" s="12"/>
      <c r="F52" s="12"/>
      <c r="G52" s="12"/>
      <c r="H52" s="12">
        <v>104.28</v>
      </c>
      <c r="I52" s="12"/>
      <c r="J52" s="39"/>
      <c r="K52" s="12"/>
      <c r="L52" s="12"/>
      <c r="M52" s="12"/>
      <c r="N52" s="12"/>
      <c r="O52" s="12"/>
      <c r="P52" s="12">
        <v>5.97</v>
      </c>
      <c r="Q52" s="12"/>
      <c r="R52" s="12"/>
      <c r="S52" s="12"/>
      <c r="T52" s="12"/>
      <c r="U52" s="19" t="s">
        <v>61</v>
      </c>
    </row>
    <row r="53" spans="1:21" ht="12.75">
      <c r="A53" s="2">
        <v>40797</v>
      </c>
      <c r="B53" s="7" t="s">
        <v>57</v>
      </c>
      <c r="C53" s="23"/>
      <c r="D53" s="16"/>
      <c r="E53" s="12"/>
      <c r="F53" s="12"/>
      <c r="G53" s="12"/>
      <c r="H53" s="12"/>
      <c r="I53" s="12"/>
      <c r="J53" s="39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3"/>
    </row>
    <row r="54" spans="1:21" ht="12.75">
      <c r="A54" s="2">
        <v>40798</v>
      </c>
      <c r="B54" s="7" t="s">
        <v>57</v>
      </c>
      <c r="C54" s="23"/>
      <c r="D54" s="16"/>
      <c r="E54" s="12">
        <v>159.02</v>
      </c>
      <c r="F54" s="12"/>
      <c r="G54" s="12"/>
      <c r="H54" s="12">
        <v>60.96</v>
      </c>
      <c r="I54" s="12"/>
      <c r="J54" s="39"/>
      <c r="K54" s="12"/>
      <c r="L54" s="12"/>
      <c r="M54" s="12"/>
      <c r="N54" s="12"/>
      <c r="O54" s="12"/>
      <c r="P54" s="12">
        <v>26.8</v>
      </c>
      <c r="Q54" s="12"/>
      <c r="R54" s="12"/>
      <c r="S54" s="12"/>
      <c r="T54" s="12">
        <v>77.04</v>
      </c>
      <c r="U54" s="19" t="s">
        <v>63</v>
      </c>
    </row>
    <row r="55" spans="1:21" ht="12.75">
      <c r="A55" s="2">
        <v>40799</v>
      </c>
      <c r="B55" s="7" t="s">
        <v>57</v>
      </c>
      <c r="C55" s="23"/>
      <c r="D55" s="16"/>
      <c r="E55" s="12">
        <v>3.28</v>
      </c>
      <c r="F55" s="12"/>
      <c r="G55" s="12"/>
      <c r="H55" s="12"/>
      <c r="I55" s="12"/>
      <c r="J55" s="39"/>
      <c r="K55" s="12"/>
      <c r="L55" s="12"/>
      <c r="M55" s="12"/>
      <c r="N55" s="12"/>
      <c r="O55" s="12"/>
      <c r="P55" s="12">
        <v>22.45</v>
      </c>
      <c r="Q55" s="12"/>
      <c r="R55" s="12"/>
      <c r="S55" s="12"/>
      <c r="T55" s="12"/>
      <c r="U55" s="19" t="s">
        <v>62</v>
      </c>
    </row>
    <row r="56" spans="1:21" ht="12.75">
      <c r="A56" s="2">
        <v>40800</v>
      </c>
      <c r="B56" s="7" t="s">
        <v>57</v>
      </c>
      <c r="C56" s="23"/>
      <c r="D56" s="16"/>
      <c r="E56" s="12"/>
      <c r="F56" s="12"/>
      <c r="G56" s="12"/>
      <c r="H56" s="12"/>
      <c r="I56" s="12"/>
      <c r="J56" s="39"/>
      <c r="K56" s="12"/>
      <c r="L56" s="12"/>
      <c r="M56" s="12"/>
      <c r="N56" s="12"/>
      <c r="O56" s="12"/>
      <c r="P56" s="12">
        <v>34.2</v>
      </c>
      <c r="Q56" s="12"/>
      <c r="R56" s="12"/>
      <c r="S56" s="12"/>
      <c r="T56" s="12"/>
      <c r="U56" s="19" t="s">
        <v>64</v>
      </c>
    </row>
    <row r="57" spans="1:21" ht="12.75">
      <c r="A57" s="2">
        <v>40801</v>
      </c>
      <c r="B57" s="7" t="s">
        <v>57</v>
      </c>
      <c r="C57" s="23"/>
      <c r="D57" s="16"/>
      <c r="E57" s="12"/>
      <c r="F57" s="12"/>
      <c r="G57" s="12"/>
      <c r="H57" s="12"/>
      <c r="I57" s="12"/>
      <c r="J57" s="39"/>
      <c r="K57" s="12"/>
      <c r="L57" s="12"/>
      <c r="M57" s="12"/>
      <c r="N57" s="12"/>
      <c r="O57" s="12"/>
      <c r="P57" s="12">
        <v>1540</v>
      </c>
      <c r="Q57" s="12"/>
      <c r="R57" s="12"/>
      <c r="S57" s="12"/>
      <c r="T57" s="12"/>
      <c r="U57" s="13"/>
    </row>
    <row r="58" spans="1:21" ht="12.75">
      <c r="A58" s="2">
        <v>40802</v>
      </c>
      <c r="B58" s="7" t="s">
        <v>56</v>
      </c>
      <c r="C58" s="23">
        <v>4.5</v>
      </c>
      <c r="D58" s="16">
        <v>462.9</v>
      </c>
      <c r="E58" s="12">
        <f>5.7+5.88</f>
        <v>11.58</v>
      </c>
      <c r="F58" s="12"/>
      <c r="G58" s="12"/>
      <c r="H58" s="12"/>
      <c r="I58" s="12"/>
      <c r="J58" s="39"/>
      <c r="K58" s="12"/>
      <c r="L58" s="12">
        <v>15</v>
      </c>
      <c r="M58" s="12"/>
      <c r="N58" s="12"/>
      <c r="O58" s="12"/>
      <c r="P58" s="12"/>
      <c r="Q58" s="12"/>
      <c r="R58" s="12"/>
      <c r="S58" s="12"/>
      <c r="T58" s="12"/>
      <c r="U58" s="19" t="s">
        <v>67</v>
      </c>
    </row>
    <row r="59" spans="1:21" ht="12.75">
      <c r="A59" s="2">
        <v>40803</v>
      </c>
      <c r="B59" s="8" t="s">
        <v>57</v>
      </c>
      <c r="C59" s="23">
        <v>4.5</v>
      </c>
      <c r="D59" s="16"/>
      <c r="E59" s="12"/>
      <c r="F59" s="12"/>
      <c r="G59" s="12"/>
      <c r="H59" s="12"/>
      <c r="I59" s="12"/>
      <c r="J59" s="39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3"/>
    </row>
    <row r="60" spans="1:21" ht="12.75">
      <c r="A60" s="2">
        <v>40804</v>
      </c>
      <c r="B60" s="8" t="s">
        <v>68</v>
      </c>
      <c r="C60" s="23">
        <f>64.3-C59</f>
        <v>59.8</v>
      </c>
      <c r="D60" s="16">
        <v>473.3</v>
      </c>
      <c r="E60" s="12"/>
      <c r="F60" s="12"/>
      <c r="G60" s="12"/>
      <c r="H60" s="12"/>
      <c r="I60" s="12"/>
      <c r="J60" s="39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3"/>
    </row>
    <row r="61" spans="1:21" ht="12.75">
      <c r="A61" s="2">
        <v>40805</v>
      </c>
      <c r="B61" s="8" t="s">
        <v>69</v>
      </c>
      <c r="C61" s="23">
        <v>20.2</v>
      </c>
      <c r="D61" s="16">
        <v>482.5</v>
      </c>
      <c r="E61" s="12"/>
      <c r="F61" s="12"/>
      <c r="G61" s="12"/>
      <c r="H61" s="12"/>
      <c r="I61" s="12"/>
      <c r="J61" s="39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3"/>
    </row>
    <row r="62" spans="1:21" ht="12.75">
      <c r="A62" s="2">
        <v>40806</v>
      </c>
      <c r="B62" s="8" t="s">
        <v>70</v>
      </c>
      <c r="C62" s="23">
        <v>4.7</v>
      </c>
      <c r="D62" s="16">
        <v>484.8</v>
      </c>
      <c r="E62" s="12"/>
      <c r="F62" s="12"/>
      <c r="G62" s="12"/>
      <c r="H62" s="12"/>
      <c r="I62" s="12"/>
      <c r="J62" s="39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3"/>
    </row>
    <row r="63" spans="1:21" ht="12.75">
      <c r="A63" s="2">
        <v>40807</v>
      </c>
      <c r="B63" s="8" t="s">
        <v>70</v>
      </c>
      <c r="C63" s="23"/>
      <c r="D63" s="16"/>
      <c r="E63" s="12">
        <v>67</v>
      </c>
      <c r="F63" s="12"/>
      <c r="G63" s="12"/>
      <c r="H63" s="12"/>
      <c r="I63" s="12"/>
      <c r="J63" s="39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3"/>
    </row>
    <row r="64" spans="1:21" ht="12.75">
      <c r="A64" s="2">
        <v>40808</v>
      </c>
      <c r="B64" s="8" t="s">
        <v>70</v>
      </c>
      <c r="C64" s="23"/>
      <c r="D64" s="16"/>
      <c r="E64" s="12"/>
      <c r="F64" s="12"/>
      <c r="G64" s="12"/>
      <c r="H64" s="12"/>
      <c r="I64" s="12"/>
      <c r="J64" s="39"/>
      <c r="K64" s="12"/>
      <c r="L64" s="12"/>
      <c r="M64" s="12"/>
      <c r="N64" s="12"/>
      <c r="O64" s="12"/>
      <c r="P64" s="12">
        <v>34</v>
      </c>
      <c r="Q64" s="12"/>
      <c r="R64" s="12">
        <v>22</v>
      </c>
      <c r="S64" s="12"/>
      <c r="T64" s="12"/>
      <c r="U64" s="13" t="s">
        <v>71</v>
      </c>
    </row>
    <row r="65" spans="1:21" ht="12.75">
      <c r="A65" s="2">
        <v>40809</v>
      </c>
      <c r="B65" s="8" t="s">
        <v>72</v>
      </c>
      <c r="C65" s="23">
        <v>42</v>
      </c>
      <c r="D65" s="16">
        <v>498</v>
      </c>
      <c r="E65" s="12"/>
      <c r="F65" s="12"/>
      <c r="G65" s="12"/>
      <c r="H65" s="12"/>
      <c r="I65" s="12">
        <v>47.02</v>
      </c>
      <c r="J65" s="39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3"/>
    </row>
    <row r="66" spans="1:21" ht="12.75">
      <c r="A66" s="2">
        <v>40810</v>
      </c>
      <c r="B66" s="8" t="s">
        <v>72</v>
      </c>
      <c r="C66" s="23"/>
      <c r="D66" s="16"/>
      <c r="E66" s="12">
        <v>33.73</v>
      </c>
      <c r="F66" s="12"/>
      <c r="G66" s="12"/>
      <c r="H66" s="12"/>
      <c r="I66" s="12"/>
      <c r="J66" s="39"/>
      <c r="K66" s="12"/>
      <c r="L66" s="12"/>
      <c r="M66" s="12"/>
      <c r="N66" s="12"/>
      <c r="O66" s="12"/>
      <c r="P66" s="12">
        <v>164.25</v>
      </c>
      <c r="Q66" s="12"/>
      <c r="R66" s="12"/>
      <c r="S66" s="12"/>
      <c r="T66" s="12">
        <v>24.86</v>
      </c>
      <c r="U66" s="13" t="s">
        <v>73</v>
      </c>
    </row>
    <row r="67" spans="1:21" ht="12.75">
      <c r="A67" s="2">
        <v>40811</v>
      </c>
      <c r="B67" s="8" t="s">
        <v>72</v>
      </c>
      <c r="C67" s="23"/>
      <c r="D67" s="16"/>
      <c r="E67" s="12">
        <v>14.95</v>
      </c>
      <c r="F67" s="12"/>
      <c r="G67" s="12"/>
      <c r="H67" s="12"/>
      <c r="I67" s="12"/>
      <c r="J67" s="39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3"/>
    </row>
    <row r="68" spans="1:21" ht="12.75">
      <c r="A68" s="2">
        <v>40812</v>
      </c>
      <c r="B68" s="8" t="s">
        <v>72</v>
      </c>
      <c r="C68" s="23"/>
      <c r="D68" s="16"/>
      <c r="E68" s="12">
        <v>15.39</v>
      </c>
      <c r="F68" s="12"/>
      <c r="G68" s="12"/>
      <c r="H68" s="12"/>
      <c r="I68" s="12"/>
      <c r="J68" s="39"/>
      <c r="K68" s="12"/>
      <c r="L68" s="12"/>
      <c r="M68" s="12"/>
      <c r="N68" s="12"/>
      <c r="O68" s="12"/>
      <c r="P68" s="12"/>
      <c r="Q68" s="12"/>
      <c r="R68" s="12"/>
      <c r="S68" s="12"/>
      <c r="T68" s="12">
        <v>59.98</v>
      </c>
      <c r="U68" s="13" t="s">
        <v>74</v>
      </c>
    </row>
    <row r="69" spans="1:21" ht="12.75">
      <c r="A69" s="2">
        <v>40813</v>
      </c>
      <c r="B69" s="8" t="s">
        <v>72</v>
      </c>
      <c r="C69" s="23"/>
      <c r="D69" s="16"/>
      <c r="E69" s="12"/>
      <c r="F69" s="12"/>
      <c r="G69" s="12">
        <v>36</v>
      </c>
      <c r="H69" s="12"/>
      <c r="I69" s="12"/>
      <c r="J69" s="39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3"/>
    </row>
    <row r="70" spans="1:21" ht="12.75">
      <c r="A70" s="2">
        <v>40814</v>
      </c>
      <c r="B70" s="8" t="s">
        <v>72</v>
      </c>
      <c r="C70" s="23"/>
      <c r="D70" s="16"/>
      <c r="E70" s="12">
        <v>42.21</v>
      </c>
      <c r="F70" s="12"/>
      <c r="G70" s="12"/>
      <c r="H70" s="12">
        <f>52.29+15.99</f>
        <v>68.28</v>
      </c>
      <c r="I70" s="12"/>
      <c r="J70" s="39"/>
      <c r="K70" s="12"/>
      <c r="L70" s="12"/>
      <c r="M70" s="12"/>
      <c r="N70" s="12"/>
      <c r="O70" s="12"/>
      <c r="P70" s="12">
        <v>85.82</v>
      </c>
      <c r="Q70" s="12"/>
      <c r="R70" s="12"/>
      <c r="S70" s="12">
        <v>2.75</v>
      </c>
      <c r="T70" s="12"/>
      <c r="U70" s="13" t="s">
        <v>75</v>
      </c>
    </row>
    <row r="71" spans="1:21" ht="12.75">
      <c r="A71" s="2">
        <v>40815</v>
      </c>
      <c r="B71" s="8" t="s">
        <v>76</v>
      </c>
      <c r="C71" s="23"/>
      <c r="D71" s="16"/>
      <c r="E71" s="12"/>
      <c r="F71" s="12"/>
      <c r="G71" s="12"/>
      <c r="H71" s="12"/>
      <c r="I71" s="12"/>
      <c r="J71" s="39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3"/>
    </row>
    <row r="72" spans="1:21" ht="13.5" thickBot="1">
      <c r="A72" s="2">
        <v>40816</v>
      </c>
      <c r="B72" s="8" t="s">
        <v>76</v>
      </c>
      <c r="C72" s="23"/>
      <c r="D72" s="16"/>
      <c r="E72" s="12"/>
      <c r="F72" s="12"/>
      <c r="G72" s="12"/>
      <c r="H72" s="12"/>
      <c r="I72" s="12"/>
      <c r="J72" s="39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3"/>
    </row>
    <row r="73" spans="1:21" ht="13.5" thickBot="1">
      <c r="A73" s="4" t="s">
        <v>143</v>
      </c>
      <c r="B73" s="20"/>
      <c r="C73" s="27">
        <f>SUM(C42:C72)</f>
        <v>179.89999999999998</v>
      </c>
      <c r="D73" s="27">
        <f>D65-D32</f>
        <v>53.10000000000002</v>
      </c>
      <c r="E73" s="31">
        <f aca="true" t="shared" si="2" ref="E73:T73">SUM(E42:E72)</f>
        <v>469.25999999999993</v>
      </c>
      <c r="F73" s="31">
        <f t="shared" si="2"/>
        <v>0</v>
      </c>
      <c r="G73" s="31">
        <f t="shared" si="2"/>
        <v>36</v>
      </c>
      <c r="H73" s="31">
        <f t="shared" si="2"/>
        <v>257.05</v>
      </c>
      <c r="I73" s="31">
        <f t="shared" si="2"/>
        <v>47.02</v>
      </c>
      <c r="J73" s="40">
        <f t="shared" si="2"/>
        <v>0</v>
      </c>
      <c r="K73" s="31">
        <f t="shared" si="2"/>
        <v>0</v>
      </c>
      <c r="L73" s="31">
        <f t="shared" si="2"/>
        <v>15</v>
      </c>
      <c r="M73" s="31">
        <f t="shared" si="2"/>
        <v>0</v>
      </c>
      <c r="N73" s="31">
        <f t="shared" si="2"/>
        <v>0</v>
      </c>
      <c r="O73" s="31">
        <f t="shared" si="2"/>
        <v>0</v>
      </c>
      <c r="P73" s="31">
        <f t="shared" si="2"/>
        <v>2282.82</v>
      </c>
      <c r="Q73" s="31">
        <f t="shared" si="2"/>
        <v>0</v>
      </c>
      <c r="R73" s="31">
        <f>SUM(R42:R72)</f>
        <v>37</v>
      </c>
      <c r="S73" s="31">
        <f>SUM(S42:S72)</f>
        <v>7.75</v>
      </c>
      <c r="T73" s="31">
        <f t="shared" si="2"/>
        <v>209.67</v>
      </c>
      <c r="U73" s="30">
        <f>SUM(E73:T73)-J73</f>
        <v>3361.57</v>
      </c>
    </row>
    <row r="74" spans="1:21" ht="13.5" thickBot="1">
      <c r="A74" s="4" t="s">
        <v>144</v>
      </c>
      <c r="B74" s="20"/>
      <c r="C74" s="27">
        <f>C73+C39</f>
        <v>642.8</v>
      </c>
      <c r="D74" s="27">
        <f>D73+D39</f>
        <v>156.5</v>
      </c>
      <c r="E74" s="31">
        <f aca="true" t="shared" si="3" ref="E74:T74">E73+E39</f>
        <v>779.4399999999999</v>
      </c>
      <c r="F74" s="31">
        <f t="shared" si="3"/>
        <v>52.959999999999994</v>
      </c>
      <c r="G74" s="31">
        <f t="shared" si="3"/>
        <v>135.98000000000002</v>
      </c>
      <c r="H74" s="31">
        <f t="shared" si="3"/>
        <v>461.96000000000004</v>
      </c>
      <c r="I74" s="31">
        <f t="shared" si="3"/>
        <v>189.62000000000003</v>
      </c>
      <c r="J74" s="40">
        <f t="shared" si="3"/>
        <v>40.207</v>
      </c>
      <c r="K74" s="31">
        <f t="shared" si="3"/>
        <v>0</v>
      </c>
      <c r="L74" s="31">
        <f t="shared" si="3"/>
        <v>15</v>
      </c>
      <c r="M74" s="31">
        <f t="shared" si="3"/>
        <v>554.54</v>
      </c>
      <c r="N74" s="31">
        <f t="shared" si="3"/>
        <v>90</v>
      </c>
      <c r="O74" s="31">
        <f t="shared" si="3"/>
        <v>0</v>
      </c>
      <c r="P74" s="31">
        <f t="shared" si="3"/>
        <v>2676.03</v>
      </c>
      <c r="Q74" s="31">
        <f t="shared" si="3"/>
        <v>60</v>
      </c>
      <c r="R74" s="31">
        <f>R73+R39</f>
        <v>87</v>
      </c>
      <c r="S74" s="31">
        <f>S73+S39</f>
        <v>14.25</v>
      </c>
      <c r="T74" s="31">
        <f t="shared" si="3"/>
        <v>1000.32</v>
      </c>
      <c r="U74" s="30">
        <f>SUM(E74:T74)-J74</f>
        <v>6117.1</v>
      </c>
    </row>
    <row r="75" ht="13.5" thickBot="1">
      <c r="A75" s="2"/>
    </row>
    <row r="76" ht="13.5" thickBot="1">
      <c r="A76" s="3" t="s">
        <v>11</v>
      </c>
    </row>
    <row r="77" ht="12.75">
      <c r="A77" s="2"/>
    </row>
    <row r="78" spans="1:21" ht="12.75">
      <c r="A78" s="2">
        <v>40817</v>
      </c>
      <c r="B78" s="8" t="s">
        <v>76</v>
      </c>
      <c r="C78" s="23"/>
      <c r="D78" s="16"/>
      <c r="E78" s="12">
        <v>22.17</v>
      </c>
      <c r="F78" s="12"/>
      <c r="G78" s="12"/>
      <c r="H78" s="12"/>
      <c r="I78" s="12"/>
      <c r="J78" s="39"/>
      <c r="K78" s="12"/>
      <c r="L78" s="12"/>
      <c r="M78" s="12"/>
      <c r="N78" s="12"/>
      <c r="O78" s="12"/>
      <c r="P78" s="12">
        <f>48.92+5.47</f>
        <v>54.39</v>
      </c>
      <c r="Q78" s="12"/>
      <c r="R78" s="12"/>
      <c r="S78" s="12"/>
      <c r="T78" s="12"/>
      <c r="U78" s="13"/>
    </row>
    <row r="79" spans="1:21" ht="12.75">
      <c r="A79" s="2">
        <v>40818</v>
      </c>
      <c r="B79" s="8" t="s">
        <v>76</v>
      </c>
      <c r="C79" s="23"/>
      <c r="D79" s="16"/>
      <c r="E79" s="12">
        <v>105.05</v>
      </c>
      <c r="F79" s="12"/>
      <c r="G79" s="12"/>
      <c r="H79" s="12"/>
      <c r="I79" s="12"/>
      <c r="J79" s="39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3"/>
    </row>
    <row r="80" spans="1:21" ht="12.75">
      <c r="A80" s="2">
        <v>40819</v>
      </c>
      <c r="B80" s="8" t="s">
        <v>76</v>
      </c>
      <c r="C80" s="23"/>
      <c r="D80" s="16"/>
      <c r="E80" s="12">
        <v>6.31</v>
      </c>
      <c r="F80" s="12"/>
      <c r="G80" s="12"/>
      <c r="H80" s="12"/>
      <c r="I80" s="12"/>
      <c r="J80" s="39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3"/>
    </row>
    <row r="81" spans="1:21" ht="12.75">
      <c r="A81" s="2">
        <v>40820</v>
      </c>
      <c r="B81" s="8" t="s">
        <v>76</v>
      </c>
      <c r="C81" s="23"/>
      <c r="D81" s="16"/>
      <c r="E81" s="12"/>
      <c r="F81" s="12"/>
      <c r="G81" s="12"/>
      <c r="H81" s="12"/>
      <c r="I81" s="12"/>
      <c r="J81" s="39"/>
      <c r="K81" s="12"/>
      <c r="L81" s="12"/>
      <c r="M81" s="12"/>
      <c r="N81" s="12"/>
      <c r="O81" s="12"/>
      <c r="P81" s="12">
        <f>4.19+13.83</f>
        <v>18.02</v>
      </c>
      <c r="Q81" s="12"/>
      <c r="R81" s="12"/>
      <c r="S81" s="12"/>
      <c r="T81" s="12"/>
      <c r="U81" s="13" t="s">
        <v>80</v>
      </c>
    </row>
    <row r="82" spans="1:21" ht="12.75">
      <c r="A82" s="2">
        <v>40821</v>
      </c>
      <c r="B82" s="8" t="s">
        <v>76</v>
      </c>
      <c r="C82" s="23"/>
      <c r="D82" s="16"/>
      <c r="E82" s="12"/>
      <c r="F82" s="12"/>
      <c r="G82" s="12"/>
      <c r="H82" s="12"/>
      <c r="I82" s="12"/>
      <c r="J82" s="39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3"/>
    </row>
    <row r="83" spans="1:21" ht="12.75">
      <c r="A83" s="2">
        <v>40822</v>
      </c>
      <c r="B83" s="8" t="s">
        <v>76</v>
      </c>
      <c r="C83" s="23"/>
      <c r="D83" s="16"/>
      <c r="E83" s="12">
        <v>93.33</v>
      </c>
      <c r="F83" s="12">
        <v>25</v>
      </c>
      <c r="G83" s="12"/>
      <c r="H83" s="12"/>
      <c r="I83" s="12"/>
      <c r="J83" s="39"/>
      <c r="K83" s="12"/>
      <c r="L83" s="12"/>
      <c r="M83" s="12"/>
      <c r="N83" s="12"/>
      <c r="O83" s="12"/>
      <c r="P83" s="12"/>
      <c r="Q83" s="12"/>
      <c r="R83" s="12"/>
      <c r="S83" s="12"/>
      <c r="T83" s="12">
        <v>18</v>
      </c>
      <c r="U83" s="13" t="s">
        <v>78</v>
      </c>
    </row>
    <row r="84" spans="1:21" ht="12.75">
      <c r="A84" s="2">
        <v>40823</v>
      </c>
      <c r="B84" s="8" t="s">
        <v>76</v>
      </c>
      <c r="C84" s="23"/>
      <c r="D84" s="16"/>
      <c r="E84" s="12"/>
      <c r="F84" s="12"/>
      <c r="G84" s="12">
        <v>3.59</v>
      </c>
      <c r="H84" s="12">
        <v>50.11</v>
      </c>
      <c r="I84" s="12"/>
      <c r="J84" s="39"/>
      <c r="K84" s="12"/>
      <c r="L84" s="12"/>
      <c r="M84" s="12"/>
      <c r="N84" s="12"/>
      <c r="O84" s="12"/>
      <c r="P84" s="12"/>
      <c r="Q84" s="12"/>
      <c r="R84" s="12">
        <v>15</v>
      </c>
      <c r="S84" s="12"/>
      <c r="T84" s="12">
        <v>16.17</v>
      </c>
      <c r="U84" s="13" t="s">
        <v>79</v>
      </c>
    </row>
    <row r="85" spans="1:21" ht="12.75">
      <c r="A85" s="2">
        <v>40824</v>
      </c>
      <c r="B85" s="8" t="s">
        <v>76</v>
      </c>
      <c r="C85" s="23"/>
      <c r="D85" s="16"/>
      <c r="E85" s="12"/>
      <c r="F85" s="12"/>
      <c r="G85" s="12"/>
      <c r="H85" s="12"/>
      <c r="I85" s="12"/>
      <c r="J85" s="39"/>
      <c r="K85" s="12">
        <v>17.83</v>
      </c>
      <c r="L85" s="12"/>
      <c r="M85" s="12"/>
      <c r="N85" s="12"/>
      <c r="O85" s="12"/>
      <c r="P85" s="12"/>
      <c r="Q85" s="12"/>
      <c r="R85" s="12"/>
      <c r="S85" s="12"/>
      <c r="T85" s="12"/>
      <c r="U85" s="13"/>
    </row>
    <row r="86" spans="1:21" ht="12.75">
      <c r="A86" s="2">
        <v>40825</v>
      </c>
      <c r="B86" s="8" t="s">
        <v>76</v>
      </c>
      <c r="C86" s="23"/>
      <c r="D86" s="16"/>
      <c r="E86" s="12"/>
      <c r="F86" s="12"/>
      <c r="G86" s="12"/>
      <c r="H86" s="12"/>
      <c r="I86" s="12"/>
      <c r="J86" s="39"/>
      <c r="K86" s="12"/>
      <c r="L86" s="12"/>
      <c r="M86" s="12"/>
      <c r="N86" s="12"/>
      <c r="O86" s="12"/>
      <c r="P86" s="12">
        <v>634</v>
      </c>
      <c r="Q86" s="12"/>
      <c r="R86" s="12"/>
      <c r="S86" s="12"/>
      <c r="T86" s="12"/>
      <c r="U86" s="13" t="s">
        <v>82</v>
      </c>
    </row>
    <row r="87" spans="1:21" ht="12.75">
      <c r="A87" s="2">
        <v>40826</v>
      </c>
      <c r="B87" s="8" t="s">
        <v>76</v>
      </c>
      <c r="C87" s="23"/>
      <c r="D87" s="16"/>
      <c r="E87" s="12"/>
      <c r="F87" s="12"/>
      <c r="G87" s="12">
        <v>6</v>
      </c>
      <c r="H87" s="12"/>
      <c r="I87" s="12"/>
      <c r="J87" s="39"/>
      <c r="K87" s="12"/>
      <c r="L87" s="12"/>
      <c r="M87" s="12"/>
      <c r="N87" s="12"/>
      <c r="O87" s="12"/>
      <c r="P87" s="12">
        <f>56.79+85.76+24.37</f>
        <v>166.92000000000002</v>
      </c>
      <c r="Q87" s="12"/>
      <c r="R87" s="12"/>
      <c r="S87" s="12"/>
      <c r="T87" s="12">
        <v>2.21</v>
      </c>
      <c r="U87" s="13" t="s">
        <v>81</v>
      </c>
    </row>
    <row r="88" spans="1:21" ht="12.75">
      <c r="A88" s="2">
        <v>40827</v>
      </c>
      <c r="B88" s="8" t="s">
        <v>77</v>
      </c>
      <c r="C88" s="23">
        <v>46.3</v>
      </c>
      <c r="D88" s="16">
        <v>558.9</v>
      </c>
      <c r="E88" s="12">
        <v>66.1</v>
      </c>
      <c r="F88" s="12"/>
      <c r="G88" s="12"/>
      <c r="H88" s="12">
        <v>22.87</v>
      </c>
      <c r="I88" s="12"/>
      <c r="J88" s="39"/>
      <c r="K88" s="12"/>
      <c r="L88" s="12"/>
      <c r="M88" s="12"/>
      <c r="N88" s="12"/>
      <c r="O88" s="12"/>
      <c r="P88" s="12">
        <v>31.78</v>
      </c>
      <c r="Q88" s="12"/>
      <c r="R88" s="12"/>
      <c r="S88" s="12"/>
      <c r="T88" s="12">
        <v>1.05</v>
      </c>
      <c r="U88" s="13" t="s">
        <v>83</v>
      </c>
    </row>
    <row r="89" spans="1:21" ht="12.75">
      <c r="A89" s="2">
        <v>40828</v>
      </c>
      <c r="B89" s="8" t="s">
        <v>84</v>
      </c>
      <c r="C89" s="23"/>
      <c r="D89" s="16"/>
      <c r="E89" s="12"/>
      <c r="F89" s="12"/>
      <c r="G89" s="12"/>
      <c r="H89" s="12"/>
      <c r="I89" s="12"/>
      <c r="J89" s="39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3"/>
    </row>
    <row r="90" spans="1:21" ht="12.75">
      <c r="A90" s="2">
        <v>40829</v>
      </c>
      <c r="B90" s="8" t="s">
        <v>84</v>
      </c>
      <c r="C90" s="23"/>
      <c r="D90" s="16"/>
      <c r="E90" s="12"/>
      <c r="F90" s="12"/>
      <c r="G90" s="12"/>
      <c r="H90" s="12"/>
      <c r="I90" s="12"/>
      <c r="J90" s="39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3"/>
    </row>
    <row r="91" spans="1:21" ht="12.75">
      <c r="A91" s="2">
        <v>40830</v>
      </c>
      <c r="B91" s="8" t="s">
        <v>84</v>
      </c>
      <c r="C91" s="23"/>
      <c r="D91" s="16"/>
      <c r="E91" s="12"/>
      <c r="F91" s="12"/>
      <c r="G91" s="12"/>
      <c r="H91" s="12"/>
      <c r="I91" s="12"/>
      <c r="J91" s="39"/>
      <c r="K91" s="12"/>
      <c r="L91" s="12"/>
      <c r="M91" s="12"/>
      <c r="N91" s="12"/>
      <c r="O91" s="12"/>
      <c r="P91" s="12">
        <v>9.5</v>
      </c>
      <c r="Q91" s="12"/>
      <c r="R91" s="12"/>
      <c r="S91" s="12"/>
      <c r="T91" s="12"/>
      <c r="U91" s="13" t="s">
        <v>64</v>
      </c>
    </row>
    <row r="92" spans="1:21" ht="12.75">
      <c r="A92" s="2">
        <v>40831</v>
      </c>
      <c r="B92" s="8" t="s">
        <v>85</v>
      </c>
      <c r="C92" s="23">
        <v>43.3</v>
      </c>
      <c r="D92" s="16">
        <v>570.9</v>
      </c>
      <c r="E92" s="12"/>
      <c r="F92" s="12"/>
      <c r="G92" s="12"/>
      <c r="H92" s="12"/>
      <c r="I92" s="12"/>
      <c r="J92" s="39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3"/>
    </row>
    <row r="93" spans="1:21" ht="12.75">
      <c r="A93" s="2">
        <v>40832</v>
      </c>
      <c r="B93" s="8" t="s">
        <v>85</v>
      </c>
      <c r="C93" s="23"/>
      <c r="D93" s="16"/>
      <c r="E93" s="12"/>
      <c r="F93" s="12"/>
      <c r="G93" s="12"/>
      <c r="H93" s="12"/>
      <c r="I93" s="12"/>
      <c r="J93" s="39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3"/>
    </row>
    <row r="94" spans="1:21" ht="12.75">
      <c r="A94" s="2">
        <v>40833</v>
      </c>
      <c r="B94" s="8" t="s">
        <v>86</v>
      </c>
      <c r="C94" s="23">
        <v>22.1</v>
      </c>
      <c r="D94" s="16">
        <v>575.8</v>
      </c>
      <c r="E94" s="12">
        <v>92.02</v>
      </c>
      <c r="F94" s="12"/>
      <c r="G94" s="12"/>
      <c r="H94" s="12"/>
      <c r="I94" s="12"/>
      <c r="J94" s="39"/>
      <c r="K94" s="12"/>
      <c r="L94" s="12"/>
      <c r="M94" s="12"/>
      <c r="N94" s="12"/>
      <c r="O94" s="12"/>
      <c r="P94" s="12">
        <v>20.99</v>
      </c>
      <c r="Q94" s="12"/>
      <c r="R94" s="12"/>
      <c r="S94" s="12"/>
      <c r="T94" s="12">
        <v>14.89</v>
      </c>
      <c r="U94" s="13" t="s">
        <v>87</v>
      </c>
    </row>
    <row r="95" spans="1:21" ht="12.75">
      <c r="A95" s="2">
        <v>40834</v>
      </c>
      <c r="B95" s="8" t="s">
        <v>89</v>
      </c>
      <c r="C95" s="23">
        <v>41.1</v>
      </c>
      <c r="D95" s="16">
        <v>584.6</v>
      </c>
      <c r="E95" s="12"/>
      <c r="F95" s="12"/>
      <c r="G95" s="12"/>
      <c r="H95" s="12"/>
      <c r="I95" s="12">
        <v>73.31</v>
      </c>
      <c r="J95" s="39">
        <f>19.4</f>
        <v>19.4</v>
      </c>
      <c r="K95" s="12"/>
      <c r="L95" s="12"/>
      <c r="N95" s="12"/>
      <c r="O95" s="12"/>
      <c r="P95" s="12"/>
      <c r="Q95" s="12"/>
      <c r="R95" s="12"/>
      <c r="S95" s="12"/>
      <c r="T95" s="12"/>
      <c r="U95" s="13"/>
    </row>
    <row r="96" spans="1:21" ht="12.75">
      <c r="A96" s="2">
        <v>40835</v>
      </c>
      <c r="B96" s="8" t="s">
        <v>89</v>
      </c>
      <c r="C96" s="23"/>
      <c r="D96" s="16"/>
      <c r="E96" s="12"/>
      <c r="F96" s="12">
        <v>18.67</v>
      </c>
      <c r="G96" s="12">
        <v>37.51</v>
      </c>
      <c r="H96" s="12"/>
      <c r="I96" s="12"/>
      <c r="J96" s="39"/>
      <c r="K96" s="12"/>
      <c r="L96" s="12"/>
      <c r="M96" s="12"/>
      <c r="N96" s="12"/>
      <c r="O96" s="12"/>
      <c r="P96" s="12"/>
      <c r="Q96" s="12"/>
      <c r="R96" s="12"/>
      <c r="S96" s="12">
        <v>7</v>
      </c>
      <c r="T96" s="12"/>
      <c r="U96" s="13" t="s">
        <v>44</v>
      </c>
    </row>
    <row r="97" spans="1:21" ht="12.75">
      <c r="A97" s="2">
        <v>40836</v>
      </c>
      <c r="B97" s="8" t="s">
        <v>89</v>
      </c>
      <c r="C97" s="23"/>
      <c r="D97" s="16"/>
      <c r="E97" s="12"/>
      <c r="F97" s="12">
        <v>36.25</v>
      </c>
      <c r="G97" s="12">
        <f>2.68+17.42</f>
        <v>20.1</v>
      </c>
      <c r="H97" s="12"/>
      <c r="I97" s="12"/>
      <c r="J97" s="39"/>
      <c r="K97" s="12"/>
      <c r="L97" s="12"/>
      <c r="M97" s="12">
        <f>81.5+9</f>
        <v>90.5</v>
      </c>
      <c r="N97" s="12"/>
      <c r="O97" s="12"/>
      <c r="P97" s="12"/>
      <c r="Q97" s="12"/>
      <c r="R97" s="12"/>
      <c r="S97" s="12"/>
      <c r="T97" s="12">
        <v>23</v>
      </c>
      <c r="U97" s="13" t="s">
        <v>90</v>
      </c>
    </row>
    <row r="98" spans="1:21" ht="12.75">
      <c r="A98" s="2">
        <v>40837</v>
      </c>
      <c r="B98" s="8" t="s">
        <v>88</v>
      </c>
      <c r="C98" s="23">
        <v>12.3</v>
      </c>
      <c r="D98" s="16">
        <v>587.5</v>
      </c>
      <c r="E98" s="12"/>
      <c r="F98" s="12">
        <f>77.52-14.99*4</f>
        <v>17.559999999999995</v>
      </c>
      <c r="G98" s="12">
        <f>10</f>
        <v>10</v>
      </c>
      <c r="H98" s="12">
        <f>14.99*4</f>
        <v>59.96</v>
      </c>
      <c r="I98" s="12">
        <v>41.18</v>
      </c>
      <c r="J98" s="39">
        <v>10.9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3"/>
    </row>
    <row r="99" spans="1:21" ht="12.75">
      <c r="A99" s="2">
        <v>40838</v>
      </c>
      <c r="B99" s="8" t="s">
        <v>88</v>
      </c>
      <c r="C99" s="23"/>
      <c r="D99" s="16"/>
      <c r="E99" s="12"/>
      <c r="F99" s="12"/>
      <c r="G99" s="12">
        <v>54.57</v>
      </c>
      <c r="H99" s="12"/>
      <c r="I99" s="12"/>
      <c r="J99" s="39"/>
      <c r="K99" s="12"/>
      <c r="L99" s="12"/>
      <c r="M99" s="12"/>
      <c r="N99" s="12"/>
      <c r="O99" s="12"/>
      <c r="P99" s="12"/>
      <c r="Q99" s="12"/>
      <c r="R99" s="12"/>
      <c r="S99" s="12"/>
      <c r="T99" s="12">
        <v>28.9</v>
      </c>
      <c r="U99" s="13" t="s">
        <v>91</v>
      </c>
    </row>
    <row r="100" spans="1:21" ht="12.75">
      <c r="A100" s="2">
        <v>40839</v>
      </c>
      <c r="B100" s="8" t="s">
        <v>92</v>
      </c>
      <c r="C100" s="23">
        <f>27.7*0.8689741</f>
        <v>24.07058257</v>
      </c>
      <c r="D100" s="16">
        <v>594.9</v>
      </c>
      <c r="E100" s="12"/>
      <c r="F100" s="12"/>
      <c r="G100" s="12"/>
      <c r="H100" s="12"/>
      <c r="I100" s="12"/>
      <c r="J100" s="39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3"/>
    </row>
    <row r="101" spans="1:21" ht="12.75">
      <c r="A101" s="2">
        <v>40840</v>
      </c>
      <c r="B101" s="8" t="s">
        <v>93</v>
      </c>
      <c r="C101" s="23">
        <f>23.3*0.8689741</f>
        <v>20.24709653</v>
      </c>
      <c r="D101" s="16">
        <v>599.9</v>
      </c>
      <c r="E101" s="12"/>
      <c r="F101" s="12"/>
      <c r="G101" s="12"/>
      <c r="H101" s="12"/>
      <c r="I101" s="12"/>
      <c r="J101" s="39"/>
      <c r="K101" s="12"/>
      <c r="L101" s="12"/>
      <c r="M101" s="12"/>
      <c r="N101" s="12"/>
      <c r="O101" s="12"/>
      <c r="P101" s="12"/>
      <c r="Q101" s="12"/>
      <c r="R101" s="12"/>
      <c r="S101" s="12"/>
      <c r="T101" s="12">
        <v>6</v>
      </c>
      <c r="U101" s="13" t="s">
        <v>94</v>
      </c>
    </row>
    <row r="102" spans="1:21" ht="12.75">
      <c r="A102" s="2">
        <v>40841</v>
      </c>
      <c r="B102" s="8" t="s">
        <v>93</v>
      </c>
      <c r="C102" s="23"/>
      <c r="D102" s="16"/>
      <c r="E102" s="12">
        <f>110.67+7.15</f>
        <v>117.82000000000001</v>
      </c>
      <c r="F102" s="12"/>
      <c r="G102" s="12"/>
      <c r="H102" s="12"/>
      <c r="I102" s="12"/>
      <c r="J102" s="39"/>
      <c r="K102" s="12"/>
      <c r="L102" s="12"/>
      <c r="M102" s="12"/>
      <c r="N102" s="12"/>
      <c r="O102" s="12"/>
      <c r="P102" s="12"/>
      <c r="Q102" s="12"/>
      <c r="R102" s="12"/>
      <c r="S102" s="12"/>
      <c r="T102" s="12">
        <v>11.51</v>
      </c>
      <c r="U102" s="13" t="s">
        <v>62</v>
      </c>
    </row>
    <row r="103" spans="1:21" ht="12.75">
      <c r="A103" s="2">
        <v>40842</v>
      </c>
      <c r="B103" s="8" t="s">
        <v>95</v>
      </c>
      <c r="C103" s="23">
        <f>51*0.8689741</f>
        <v>44.3176791</v>
      </c>
      <c r="D103" s="16">
        <v>607.9</v>
      </c>
      <c r="E103" s="12"/>
      <c r="F103" s="12"/>
      <c r="G103" s="12"/>
      <c r="H103" s="12"/>
      <c r="I103" s="12"/>
      <c r="J103" s="39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3"/>
    </row>
    <row r="104" spans="1:21" ht="12.75">
      <c r="A104" s="2">
        <v>40843</v>
      </c>
      <c r="B104" s="8" t="s">
        <v>96</v>
      </c>
      <c r="C104" s="23">
        <f>38*0.8689741</f>
        <v>33.0210158</v>
      </c>
      <c r="D104" s="16">
        <v>615.7</v>
      </c>
      <c r="E104" s="12"/>
      <c r="F104" s="12"/>
      <c r="G104" s="12"/>
      <c r="H104" s="12"/>
      <c r="I104" s="12"/>
      <c r="J104" s="39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3"/>
    </row>
    <row r="105" spans="1:21" ht="12.75">
      <c r="A105" s="2">
        <v>40844</v>
      </c>
      <c r="B105" s="8" t="s">
        <v>97</v>
      </c>
      <c r="C105" s="23">
        <f>48*0.8689741</f>
        <v>41.7107568</v>
      </c>
      <c r="D105" s="16">
        <v>623.3</v>
      </c>
      <c r="E105" s="12"/>
      <c r="F105" s="12"/>
      <c r="G105" s="12"/>
      <c r="H105" s="12"/>
      <c r="I105" s="12"/>
      <c r="J105" s="39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3"/>
    </row>
    <row r="106" spans="1:21" ht="12.75">
      <c r="A106" s="2">
        <v>40845</v>
      </c>
      <c r="B106" s="8" t="s">
        <v>97</v>
      </c>
      <c r="C106" s="23"/>
      <c r="D106" s="16"/>
      <c r="E106" s="12"/>
      <c r="F106" s="12"/>
      <c r="G106" s="12"/>
      <c r="H106" s="12"/>
      <c r="I106" s="12"/>
      <c r="J106" s="39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3"/>
    </row>
    <row r="107" spans="1:21" ht="12.75">
      <c r="A107" s="2">
        <v>40846</v>
      </c>
      <c r="B107" s="8" t="s">
        <v>98</v>
      </c>
      <c r="C107" s="23">
        <f>30*0.8689741</f>
        <v>26.069223</v>
      </c>
      <c r="D107" s="16">
        <v>630.3</v>
      </c>
      <c r="E107" s="12"/>
      <c r="F107" s="12"/>
      <c r="G107" s="12">
        <v>60.21</v>
      </c>
      <c r="H107" s="12"/>
      <c r="I107" s="12"/>
      <c r="J107" s="39"/>
      <c r="K107" s="12"/>
      <c r="L107" s="12"/>
      <c r="M107" s="12">
        <v>87</v>
      </c>
      <c r="N107" s="12"/>
      <c r="O107" s="12"/>
      <c r="P107" s="12"/>
      <c r="Q107" s="12"/>
      <c r="R107" s="12"/>
      <c r="S107" s="12"/>
      <c r="T107" s="12">
        <v>66.13</v>
      </c>
      <c r="U107" s="13" t="s">
        <v>99</v>
      </c>
    </row>
    <row r="108" spans="1:21" ht="13.5" thickBot="1">
      <c r="A108" s="2">
        <v>40847</v>
      </c>
      <c r="B108" s="8" t="s">
        <v>98</v>
      </c>
      <c r="C108" s="23"/>
      <c r="D108" s="16"/>
      <c r="E108" s="12">
        <f>201.14-H108</f>
        <v>123.13999999999999</v>
      </c>
      <c r="F108" s="12"/>
      <c r="G108" s="12"/>
      <c r="H108" s="12">
        <f>6*13</f>
        <v>78</v>
      </c>
      <c r="I108" s="12">
        <v>87.13</v>
      </c>
      <c r="J108" s="39">
        <v>22</v>
      </c>
      <c r="K108" s="12"/>
      <c r="L108" s="12">
        <v>10</v>
      </c>
      <c r="M108" s="12"/>
      <c r="N108" s="12"/>
      <c r="O108" s="12"/>
      <c r="P108" s="12"/>
      <c r="Q108" s="12"/>
      <c r="R108" s="12"/>
      <c r="S108" s="12"/>
      <c r="T108" s="12">
        <v>37.33</v>
      </c>
      <c r="U108" s="13" t="s">
        <v>100</v>
      </c>
    </row>
    <row r="109" spans="1:21" ht="13.5" thickBot="1">
      <c r="A109" s="4" t="s">
        <v>143</v>
      </c>
      <c r="B109" s="20"/>
      <c r="C109" s="27">
        <f>SUM(C78:C108)</f>
        <v>354.53635380000003</v>
      </c>
      <c r="D109" s="27">
        <f>D107-D65</f>
        <v>132.29999999999995</v>
      </c>
      <c r="E109" s="31">
        <f aca="true" t="shared" si="4" ref="E109:T109">SUM(E78:E108)</f>
        <v>625.94</v>
      </c>
      <c r="F109" s="31">
        <f t="shared" si="4"/>
        <v>97.47999999999999</v>
      </c>
      <c r="G109" s="31">
        <f t="shared" si="4"/>
        <v>191.98</v>
      </c>
      <c r="H109" s="31">
        <f t="shared" si="4"/>
        <v>210.94</v>
      </c>
      <c r="I109" s="31">
        <f t="shared" si="4"/>
        <v>201.62</v>
      </c>
      <c r="J109" s="40">
        <f t="shared" si="4"/>
        <v>52.3</v>
      </c>
      <c r="K109" s="31">
        <f t="shared" si="4"/>
        <v>17.83</v>
      </c>
      <c r="L109" s="31">
        <f t="shared" si="4"/>
        <v>10</v>
      </c>
      <c r="M109" s="31">
        <f t="shared" si="4"/>
        <v>177.5</v>
      </c>
      <c r="N109" s="31">
        <f t="shared" si="4"/>
        <v>0</v>
      </c>
      <c r="O109" s="31">
        <f t="shared" si="4"/>
        <v>0</v>
      </c>
      <c r="P109" s="31">
        <f t="shared" si="4"/>
        <v>935.5999999999999</v>
      </c>
      <c r="Q109" s="31">
        <f t="shared" si="4"/>
        <v>0</v>
      </c>
      <c r="R109" s="31">
        <f>SUM(R78:R108)</f>
        <v>15</v>
      </c>
      <c r="S109" s="31">
        <f>SUM(S78:S108)</f>
        <v>7</v>
      </c>
      <c r="T109" s="31">
        <f t="shared" si="4"/>
        <v>225.19</v>
      </c>
      <c r="U109" s="30">
        <f>SUM(E109:T109)-J109</f>
        <v>2716.0799999999995</v>
      </c>
    </row>
    <row r="110" spans="1:21" ht="13.5" thickBot="1">
      <c r="A110" s="4" t="s">
        <v>144</v>
      </c>
      <c r="B110" s="20"/>
      <c r="C110" s="27">
        <f>C109+C74</f>
        <v>997.3363538</v>
      </c>
      <c r="D110" s="27">
        <f>D109+D74</f>
        <v>288.79999999999995</v>
      </c>
      <c r="E110" s="31">
        <f>E109+E74</f>
        <v>1405.38</v>
      </c>
      <c r="F110" s="31">
        <f aca="true" t="shared" si="5" ref="F110:T110">F109+F74</f>
        <v>150.44</v>
      </c>
      <c r="G110" s="31">
        <f t="shared" si="5"/>
        <v>327.96000000000004</v>
      </c>
      <c r="H110" s="31">
        <f t="shared" si="5"/>
        <v>672.9000000000001</v>
      </c>
      <c r="I110" s="31">
        <f t="shared" si="5"/>
        <v>391.24</v>
      </c>
      <c r="J110" s="40">
        <f t="shared" si="5"/>
        <v>92.507</v>
      </c>
      <c r="K110" s="31">
        <f t="shared" si="5"/>
        <v>17.83</v>
      </c>
      <c r="L110" s="31">
        <f t="shared" si="5"/>
        <v>25</v>
      </c>
      <c r="M110" s="31">
        <f t="shared" si="5"/>
        <v>732.04</v>
      </c>
      <c r="N110" s="31">
        <f t="shared" si="5"/>
        <v>90</v>
      </c>
      <c r="O110" s="31">
        <f t="shared" si="5"/>
        <v>0</v>
      </c>
      <c r="P110" s="31">
        <f t="shared" si="5"/>
        <v>3611.63</v>
      </c>
      <c r="Q110" s="31">
        <f t="shared" si="5"/>
        <v>60</v>
      </c>
      <c r="R110" s="31">
        <f>R109+R74</f>
        <v>102</v>
      </c>
      <c r="S110" s="31">
        <f>S109+S74</f>
        <v>21.25</v>
      </c>
      <c r="T110" s="31">
        <f t="shared" si="5"/>
        <v>1225.51</v>
      </c>
      <c r="U110" s="30">
        <f>SUM(E110:T110)-J110</f>
        <v>8833.18</v>
      </c>
    </row>
    <row r="111" ht="13.5" thickBot="1">
      <c r="A111" s="2"/>
    </row>
    <row r="112" ht="13.5" thickBot="1">
      <c r="A112" s="3" t="s">
        <v>12</v>
      </c>
    </row>
    <row r="113" ht="12.75">
      <c r="A113" s="2"/>
    </row>
    <row r="114" spans="1:21" ht="12.75">
      <c r="A114" s="2">
        <v>40848</v>
      </c>
      <c r="B114" s="8" t="s">
        <v>101</v>
      </c>
      <c r="C114" s="23">
        <f>54*0.8689741</f>
        <v>46.9246014</v>
      </c>
      <c r="D114" s="16">
        <f>D107+(C114/5.5)</f>
        <v>638.8317457090909</v>
      </c>
      <c r="E114" s="12"/>
      <c r="F114" s="12"/>
      <c r="G114" s="12"/>
      <c r="H114" s="12"/>
      <c r="I114" s="12"/>
      <c r="J114" s="39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3"/>
    </row>
    <row r="115" spans="1:21" ht="12.75">
      <c r="A115" s="2">
        <v>40849</v>
      </c>
      <c r="B115" s="8" t="s">
        <v>102</v>
      </c>
      <c r="C115" s="23">
        <f>42*0.8689741</f>
        <v>36.4969122</v>
      </c>
      <c r="D115" s="16">
        <f>D114+(C115/5.5)</f>
        <v>645.4675479272727</v>
      </c>
      <c r="E115" s="12"/>
      <c r="F115" s="12"/>
      <c r="G115" s="12">
        <v>7.5</v>
      </c>
      <c r="H115" s="12"/>
      <c r="I115" s="12"/>
      <c r="J115" s="39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3"/>
    </row>
    <row r="116" spans="1:21" ht="12.75">
      <c r="A116" s="2">
        <v>40850</v>
      </c>
      <c r="B116" s="8" t="s">
        <v>103</v>
      </c>
      <c r="C116" s="23">
        <f>59*0.8689741</f>
        <v>51.2694719</v>
      </c>
      <c r="D116" s="16">
        <v>657</v>
      </c>
      <c r="E116" s="12"/>
      <c r="F116" s="12"/>
      <c r="G116" s="12"/>
      <c r="H116" s="12"/>
      <c r="I116" s="12"/>
      <c r="J116" s="39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3"/>
    </row>
    <row r="117" spans="1:21" ht="12.75">
      <c r="A117" s="2">
        <v>40851</v>
      </c>
      <c r="B117" s="8" t="s">
        <v>104</v>
      </c>
      <c r="C117" s="23">
        <f>5*0.8689741</f>
        <v>4.3448705</v>
      </c>
      <c r="D117" s="16">
        <v>658.4</v>
      </c>
      <c r="E117" s="12"/>
      <c r="F117" s="12"/>
      <c r="G117" s="12"/>
      <c r="H117" s="12"/>
      <c r="I117" s="12"/>
      <c r="J117" s="39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3"/>
    </row>
    <row r="118" spans="1:21" ht="12.75">
      <c r="A118" s="2">
        <v>40852</v>
      </c>
      <c r="B118" s="8" t="s">
        <v>104</v>
      </c>
      <c r="C118" s="23"/>
      <c r="D118" s="16"/>
      <c r="E118" s="12"/>
      <c r="F118" s="12"/>
      <c r="G118" s="12">
        <v>8.93</v>
      </c>
      <c r="H118" s="12"/>
      <c r="I118" s="12"/>
      <c r="J118" s="39"/>
      <c r="K118" s="12"/>
      <c r="L118" s="12"/>
      <c r="M118" s="12">
        <f>78+2.75</f>
        <v>80.75</v>
      </c>
      <c r="N118" s="12"/>
      <c r="O118" s="12"/>
      <c r="P118" s="12"/>
      <c r="Q118" s="12">
        <v>20</v>
      </c>
      <c r="R118" s="12">
        <v>25</v>
      </c>
      <c r="S118" s="12"/>
      <c r="T118" s="12">
        <f>36.46+17.27</f>
        <v>53.730000000000004</v>
      </c>
      <c r="U118" s="13" t="s">
        <v>111</v>
      </c>
    </row>
    <row r="119" spans="1:21" ht="12.75">
      <c r="A119" s="2">
        <v>40853</v>
      </c>
      <c r="B119" s="8" t="s">
        <v>105</v>
      </c>
      <c r="C119" s="23">
        <f>59*0.8689741</f>
        <v>51.2694719</v>
      </c>
      <c r="D119" s="16">
        <v>668</v>
      </c>
      <c r="E119" s="12"/>
      <c r="F119" s="12"/>
      <c r="G119" s="12"/>
      <c r="H119" s="12"/>
      <c r="I119" s="12"/>
      <c r="J119" s="39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3"/>
    </row>
    <row r="120" spans="1:21" ht="12.75">
      <c r="A120" s="2">
        <v>40854</v>
      </c>
      <c r="B120" s="8" t="s">
        <v>112</v>
      </c>
      <c r="C120" s="23">
        <f>67*0.8689741</f>
        <v>58.2212647</v>
      </c>
      <c r="D120" s="16">
        <v>678</v>
      </c>
      <c r="E120" s="12"/>
      <c r="F120" s="12"/>
      <c r="G120" s="12"/>
      <c r="H120" s="12"/>
      <c r="I120" s="12"/>
      <c r="J120" s="39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3"/>
    </row>
    <row r="121" spans="1:21" ht="12.75">
      <c r="A121" s="2">
        <v>40855</v>
      </c>
      <c r="B121" s="8" t="s">
        <v>112</v>
      </c>
      <c r="C121" s="23"/>
      <c r="D121" s="16"/>
      <c r="E121" s="12">
        <v>5.19</v>
      </c>
      <c r="F121" s="12"/>
      <c r="G121" s="12">
        <v>32.93</v>
      </c>
      <c r="H121" s="12"/>
      <c r="I121" s="12">
        <v>96.85</v>
      </c>
      <c r="J121" s="39">
        <v>23.627</v>
      </c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3"/>
    </row>
    <row r="122" spans="1:21" ht="12.75">
      <c r="A122" s="2">
        <v>40856</v>
      </c>
      <c r="B122" s="8" t="s">
        <v>113</v>
      </c>
      <c r="C122" s="23">
        <f>41*0.8689741</f>
        <v>35.6279381</v>
      </c>
      <c r="D122" s="16">
        <v>685.8</v>
      </c>
      <c r="E122" s="12"/>
      <c r="F122" s="12"/>
      <c r="G122" s="12"/>
      <c r="H122" s="12"/>
      <c r="I122" s="12"/>
      <c r="J122" s="39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3"/>
    </row>
    <row r="123" spans="1:21" ht="12.75">
      <c r="A123" s="2">
        <v>40857</v>
      </c>
      <c r="B123" s="8" t="s">
        <v>114</v>
      </c>
      <c r="C123" s="23">
        <f>30*0.8689741</f>
        <v>26.069223</v>
      </c>
      <c r="D123" s="16">
        <v>692.5</v>
      </c>
      <c r="E123" s="12"/>
      <c r="F123" s="12"/>
      <c r="G123" s="12"/>
      <c r="H123" s="12"/>
      <c r="I123" s="12"/>
      <c r="J123" s="39"/>
      <c r="K123" s="12"/>
      <c r="L123" s="12"/>
      <c r="M123" s="12"/>
      <c r="N123" s="12"/>
      <c r="O123" s="12"/>
      <c r="P123" s="12"/>
      <c r="Q123" s="12"/>
      <c r="R123" s="12"/>
      <c r="S123" s="12"/>
      <c r="T123" s="12">
        <v>2</v>
      </c>
      <c r="U123" s="13" t="s">
        <v>115</v>
      </c>
    </row>
    <row r="124" spans="1:21" ht="12.75">
      <c r="A124" s="2">
        <v>40858</v>
      </c>
      <c r="B124" s="8" t="s">
        <v>116</v>
      </c>
      <c r="C124" s="23">
        <f>47*0.8689741</f>
        <v>40.841782699999996</v>
      </c>
      <c r="D124" s="16">
        <v>700.8</v>
      </c>
      <c r="E124" s="12"/>
      <c r="F124" s="12"/>
      <c r="G124" s="12"/>
      <c r="H124" s="12"/>
      <c r="I124" s="12"/>
      <c r="J124" s="39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3"/>
    </row>
    <row r="125" spans="1:21" ht="12.75">
      <c r="A125" s="2">
        <v>40859</v>
      </c>
      <c r="B125" s="8" t="s">
        <v>117</v>
      </c>
      <c r="C125" s="23">
        <f>61*0.8689741</f>
        <v>53.0074201</v>
      </c>
      <c r="D125" s="16">
        <v>711.7</v>
      </c>
      <c r="E125" s="12"/>
      <c r="F125" s="12"/>
      <c r="G125" s="12"/>
      <c r="H125" s="12"/>
      <c r="I125" s="12"/>
      <c r="J125" s="39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3"/>
    </row>
    <row r="126" spans="1:21" ht="12.75">
      <c r="A126" s="2">
        <v>40860</v>
      </c>
      <c r="B126" s="8" t="s">
        <v>118</v>
      </c>
      <c r="C126" s="23">
        <f>33*0.8689741</f>
        <v>28.676145299999998</v>
      </c>
      <c r="D126" s="16">
        <v>717.2</v>
      </c>
      <c r="E126" s="12"/>
      <c r="F126" s="12"/>
      <c r="G126" s="12">
        <v>32.79</v>
      </c>
      <c r="H126" s="12"/>
      <c r="I126" s="12"/>
      <c r="J126" s="39"/>
      <c r="K126" s="12"/>
      <c r="L126" s="12"/>
      <c r="M126" s="12"/>
      <c r="N126" s="12"/>
      <c r="O126" s="12"/>
      <c r="P126" s="12"/>
      <c r="Q126" s="12"/>
      <c r="R126" s="12"/>
      <c r="S126" s="12"/>
      <c r="T126" s="12">
        <v>5</v>
      </c>
      <c r="U126" s="13" t="s">
        <v>94</v>
      </c>
    </row>
    <row r="127" spans="1:21" ht="12.75">
      <c r="A127" s="2">
        <v>40861</v>
      </c>
      <c r="B127" s="8" t="s">
        <v>119</v>
      </c>
      <c r="C127" s="23">
        <f>36*0.8689741</f>
        <v>31.2830676</v>
      </c>
      <c r="D127" s="16">
        <v>723</v>
      </c>
      <c r="E127" s="12"/>
      <c r="F127" s="12"/>
      <c r="G127" s="12"/>
      <c r="H127" s="12"/>
      <c r="I127" s="12"/>
      <c r="J127" s="39"/>
      <c r="K127" s="12"/>
      <c r="L127" s="12"/>
      <c r="M127" s="12"/>
      <c r="N127" s="12"/>
      <c r="O127" s="12"/>
      <c r="P127" s="12"/>
      <c r="Q127" s="12"/>
      <c r="R127" s="12"/>
      <c r="S127" s="12"/>
      <c r="T127" s="12">
        <v>8</v>
      </c>
      <c r="U127" s="13" t="s">
        <v>121</v>
      </c>
    </row>
    <row r="128" spans="1:21" ht="12.75">
      <c r="A128" s="2">
        <v>40862</v>
      </c>
      <c r="B128" s="8" t="s">
        <v>120</v>
      </c>
      <c r="C128" s="23">
        <f>7*0.8689741</f>
        <v>6.0828187</v>
      </c>
      <c r="D128" s="16">
        <v>724.5</v>
      </c>
      <c r="E128" s="12">
        <f>29.97+207.85</f>
        <v>237.82</v>
      </c>
      <c r="F128" s="12"/>
      <c r="G128" s="12"/>
      <c r="H128" s="12"/>
      <c r="I128" s="12"/>
      <c r="J128" s="39"/>
      <c r="K128" s="12"/>
      <c r="L128" s="12"/>
      <c r="M128" s="12"/>
      <c r="N128" s="12"/>
      <c r="O128" s="12"/>
      <c r="P128" s="12"/>
      <c r="Q128" s="12"/>
      <c r="R128" s="12"/>
      <c r="S128" s="12"/>
      <c r="T128" s="12">
        <v>15.84</v>
      </c>
      <c r="U128" s="13" t="s">
        <v>94</v>
      </c>
    </row>
    <row r="129" spans="1:21" ht="12.75">
      <c r="A129" s="2">
        <v>40863</v>
      </c>
      <c r="B129" s="8" t="s">
        <v>120</v>
      </c>
      <c r="C129" s="23"/>
      <c r="D129" s="16"/>
      <c r="E129" s="12">
        <v>23.16</v>
      </c>
      <c r="F129" s="12"/>
      <c r="G129" s="12">
        <f>39.75+10.47</f>
        <v>50.22</v>
      </c>
      <c r="H129" s="12"/>
      <c r="I129" s="12"/>
      <c r="J129" s="39"/>
      <c r="K129" s="12"/>
      <c r="L129" s="12"/>
      <c r="M129" s="12"/>
      <c r="N129" s="12"/>
      <c r="O129" s="12"/>
      <c r="P129" s="12"/>
      <c r="Q129" s="12"/>
      <c r="R129" s="12"/>
      <c r="S129" s="12"/>
      <c r="T129" s="12">
        <v>17.75</v>
      </c>
      <c r="U129" s="13" t="s">
        <v>125</v>
      </c>
    </row>
    <row r="130" spans="1:21" ht="12.75">
      <c r="A130" s="2">
        <v>40864</v>
      </c>
      <c r="B130" s="8" t="s">
        <v>120</v>
      </c>
      <c r="C130" s="23"/>
      <c r="D130" s="16"/>
      <c r="E130" s="12">
        <v>9.78</v>
      </c>
      <c r="F130" s="12"/>
      <c r="G130" s="12">
        <v>9.61</v>
      </c>
      <c r="H130" s="12"/>
      <c r="I130" s="12"/>
      <c r="J130" s="39"/>
      <c r="K130" s="12"/>
      <c r="L130" s="12"/>
      <c r="M130" s="12">
        <v>5.5</v>
      </c>
      <c r="N130" s="12"/>
      <c r="O130" s="12"/>
      <c r="P130" s="12"/>
      <c r="Q130" s="12"/>
      <c r="R130" s="12"/>
      <c r="S130" s="12">
        <f>5.14</f>
        <v>5.14</v>
      </c>
      <c r="T130" s="12">
        <v>13.95</v>
      </c>
      <c r="U130" s="13" t="s">
        <v>124</v>
      </c>
    </row>
    <row r="131" spans="1:21" ht="12.75">
      <c r="A131" s="2">
        <v>40865</v>
      </c>
      <c r="B131" s="8" t="s">
        <v>120</v>
      </c>
      <c r="C131" s="23"/>
      <c r="D131" s="16"/>
      <c r="E131" s="12"/>
      <c r="F131" s="12"/>
      <c r="G131" s="12"/>
      <c r="H131" s="12"/>
      <c r="I131" s="12"/>
      <c r="J131" s="39"/>
      <c r="K131" s="12"/>
      <c r="L131" s="12"/>
      <c r="M131" s="12"/>
      <c r="N131" s="12"/>
      <c r="O131" s="12"/>
      <c r="P131" s="12"/>
      <c r="Q131" s="12"/>
      <c r="R131" s="12"/>
      <c r="S131" s="12"/>
      <c r="T131" s="12">
        <v>42.75</v>
      </c>
      <c r="U131" s="13" t="s">
        <v>126</v>
      </c>
    </row>
    <row r="132" spans="1:21" ht="12.75">
      <c r="A132" s="2">
        <v>40866</v>
      </c>
      <c r="B132" s="8" t="s">
        <v>122</v>
      </c>
      <c r="C132" s="23">
        <f>49*0.8689741</f>
        <v>42.5797309</v>
      </c>
      <c r="D132" s="16">
        <v>733</v>
      </c>
      <c r="E132" s="12"/>
      <c r="F132" s="12"/>
      <c r="G132" s="12"/>
      <c r="H132" s="12"/>
      <c r="I132" s="12">
        <v>102.49</v>
      </c>
      <c r="J132" s="39">
        <v>23.08</v>
      </c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3"/>
    </row>
    <row r="133" spans="1:21" ht="12.75">
      <c r="A133" s="2">
        <v>40867</v>
      </c>
      <c r="B133" s="8" t="s">
        <v>123</v>
      </c>
      <c r="C133" s="23">
        <f>12*0.8689741</f>
        <v>10.4276892</v>
      </c>
      <c r="D133" s="16">
        <v>737</v>
      </c>
      <c r="E133" s="12"/>
      <c r="F133" s="12"/>
      <c r="G133" s="12">
        <v>47.85</v>
      </c>
      <c r="H133" s="12"/>
      <c r="I133" s="12"/>
      <c r="J133" s="39"/>
      <c r="K133" s="12"/>
      <c r="L133" s="12"/>
      <c r="M133" s="12"/>
      <c r="N133" s="12">
        <v>63.6</v>
      </c>
      <c r="O133" s="12"/>
      <c r="P133" s="12"/>
      <c r="Q133" s="12"/>
      <c r="R133" s="12"/>
      <c r="S133" s="12"/>
      <c r="T133" s="12"/>
      <c r="U133" s="13"/>
    </row>
    <row r="134" spans="1:21" ht="12.75">
      <c r="A134" s="2">
        <v>40868</v>
      </c>
      <c r="B134" s="8" t="s">
        <v>123</v>
      </c>
      <c r="C134" s="23"/>
      <c r="D134" s="16"/>
      <c r="E134" s="12"/>
      <c r="F134" s="12"/>
      <c r="G134" s="12"/>
      <c r="H134" s="12"/>
      <c r="I134" s="12"/>
      <c r="J134" s="39"/>
      <c r="K134" s="12"/>
      <c r="L134" s="12"/>
      <c r="M134" s="12"/>
      <c r="N134" s="12"/>
      <c r="O134" s="12"/>
      <c r="P134" s="12"/>
      <c r="Q134" s="12"/>
      <c r="R134" s="12"/>
      <c r="S134" s="12"/>
      <c r="T134" s="12">
        <f>39.52+5</f>
        <v>44.52</v>
      </c>
      <c r="U134" s="13" t="s">
        <v>128</v>
      </c>
    </row>
    <row r="135" spans="1:21" ht="12.75">
      <c r="A135" s="2">
        <v>40869</v>
      </c>
      <c r="B135" s="8" t="s">
        <v>123</v>
      </c>
      <c r="C135" s="23"/>
      <c r="D135" s="16"/>
      <c r="E135" s="12"/>
      <c r="F135" s="12"/>
      <c r="G135" s="12">
        <v>9.34</v>
      </c>
      <c r="H135" s="12"/>
      <c r="I135" s="12"/>
      <c r="J135" s="39"/>
      <c r="K135" s="12"/>
      <c r="L135" s="12"/>
      <c r="M135" s="12"/>
      <c r="N135" s="12"/>
      <c r="O135" s="12"/>
      <c r="P135" s="12">
        <f>70.86+57.76+20</f>
        <v>148.62</v>
      </c>
      <c r="Q135" s="12"/>
      <c r="R135" s="12"/>
      <c r="S135" s="12"/>
      <c r="T135" s="12"/>
      <c r="U135" s="13" t="s">
        <v>129</v>
      </c>
    </row>
    <row r="136" spans="1:21" ht="12.75">
      <c r="A136" s="2">
        <v>40870</v>
      </c>
      <c r="B136" s="8" t="s">
        <v>123</v>
      </c>
      <c r="C136" s="23"/>
      <c r="D136" s="16"/>
      <c r="E136" s="12"/>
      <c r="F136" s="12"/>
      <c r="G136" s="12"/>
      <c r="H136" s="12"/>
      <c r="I136" s="12"/>
      <c r="J136" s="39"/>
      <c r="K136" s="12"/>
      <c r="L136" s="12"/>
      <c r="M136" s="12"/>
      <c r="N136" s="12">
        <v>21.2</v>
      </c>
      <c r="O136" s="12"/>
      <c r="P136" s="12"/>
      <c r="Q136" s="12"/>
      <c r="R136" s="12"/>
      <c r="S136" s="12"/>
      <c r="T136" s="12">
        <v>11.29</v>
      </c>
      <c r="U136" s="13" t="s">
        <v>130</v>
      </c>
    </row>
    <row r="137" spans="1:21" ht="12.75">
      <c r="A137" s="2">
        <v>40871</v>
      </c>
      <c r="B137" s="8" t="s">
        <v>127</v>
      </c>
      <c r="C137" s="23">
        <f>63*0.8689741</f>
        <v>54.745368299999996</v>
      </c>
      <c r="D137" s="16">
        <v>746.6</v>
      </c>
      <c r="E137" s="12"/>
      <c r="F137" s="12"/>
      <c r="G137" s="12"/>
      <c r="H137" s="12"/>
      <c r="I137" s="12"/>
      <c r="J137" s="39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3"/>
    </row>
    <row r="138" spans="1:21" ht="12.75">
      <c r="A138" s="2">
        <v>40872</v>
      </c>
      <c r="B138" s="8" t="s">
        <v>131</v>
      </c>
      <c r="C138" s="23">
        <f>36*0.8689741</f>
        <v>31.2830676</v>
      </c>
      <c r="D138" s="16">
        <v>752.7</v>
      </c>
      <c r="E138" s="12">
        <v>10.32</v>
      </c>
      <c r="F138" s="12"/>
      <c r="G138" s="12"/>
      <c r="H138" s="12"/>
      <c r="I138" s="12"/>
      <c r="J138" s="39"/>
      <c r="K138" s="12"/>
      <c r="L138" s="12"/>
      <c r="M138" s="12"/>
      <c r="N138" s="12">
        <f>91.11-T138</f>
        <v>78.12</v>
      </c>
      <c r="O138" s="12"/>
      <c r="P138" s="12"/>
      <c r="Q138" s="12">
        <v>100</v>
      </c>
      <c r="R138" s="12"/>
      <c r="S138" s="12"/>
      <c r="T138" s="12">
        <v>12.99</v>
      </c>
      <c r="U138" s="13" t="s">
        <v>135</v>
      </c>
    </row>
    <row r="139" spans="1:21" ht="12.75">
      <c r="A139" s="2">
        <v>40873</v>
      </c>
      <c r="B139" s="8" t="s">
        <v>131</v>
      </c>
      <c r="C139" s="23"/>
      <c r="D139" s="16"/>
      <c r="E139" s="12">
        <v>88.69</v>
      </c>
      <c r="F139" s="12"/>
      <c r="G139" s="12"/>
      <c r="H139" s="12"/>
      <c r="I139" s="12"/>
      <c r="J139" s="39"/>
      <c r="K139" s="12"/>
      <c r="L139" s="12"/>
      <c r="M139" s="12"/>
      <c r="N139" s="12"/>
      <c r="O139" s="12"/>
      <c r="P139" s="12"/>
      <c r="Q139" s="12"/>
      <c r="R139" s="12"/>
      <c r="S139" s="12"/>
      <c r="T139" s="12">
        <v>15.88</v>
      </c>
      <c r="U139" s="13" t="s">
        <v>133</v>
      </c>
    </row>
    <row r="140" spans="1:21" ht="12.75">
      <c r="A140" s="2">
        <v>40874</v>
      </c>
      <c r="B140" s="8" t="s">
        <v>131</v>
      </c>
      <c r="C140" s="23"/>
      <c r="D140" s="16"/>
      <c r="E140" s="12">
        <f>270.1</f>
        <v>270.1</v>
      </c>
      <c r="F140" s="12"/>
      <c r="G140" s="12"/>
      <c r="H140" s="12">
        <f>117.39+49.79</f>
        <v>167.18</v>
      </c>
      <c r="I140" s="12"/>
      <c r="J140" s="39"/>
      <c r="K140" s="12"/>
      <c r="L140" s="12"/>
      <c r="M140" s="12"/>
      <c r="N140" s="12"/>
      <c r="O140" s="12"/>
      <c r="P140" s="12"/>
      <c r="Q140" s="12"/>
      <c r="R140" s="12"/>
      <c r="S140" s="12"/>
      <c r="T140" s="12">
        <f>14.83+127.19</f>
        <v>142.02</v>
      </c>
      <c r="U140" s="13" t="s">
        <v>134</v>
      </c>
    </row>
    <row r="141" spans="1:21" ht="12.75">
      <c r="A141" s="2">
        <v>40875</v>
      </c>
      <c r="B141" s="8" t="s">
        <v>131</v>
      </c>
      <c r="C141" s="23"/>
      <c r="D141" s="16"/>
      <c r="E141" s="12"/>
      <c r="F141" s="12"/>
      <c r="G141" s="12">
        <f>3.93+51.61</f>
        <v>55.54</v>
      </c>
      <c r="H141" s="12"/>
      <c r="I141" s="12"/>
      <c r="J141" s="39"/>
      <c r="K141" s="12"/>
      <c r="L141" s="12"/>
      <c r="M141" s="12"/>
      <c r="N141" s="12"/>
      <c r="O141" s="12"/>
      <c r="P141" s="12"/>
      <c r="Q141" s="12">
        <v>20</v>
      </c>
      <c r="R141" s="12"/>
      <c r="S141" s="12"/>
      <c r="T141" s="12">
        <f>271.59/3*2</f>
        <v>181.05999999999997</v>
      </c>
      <c r="U141" s="19" t="s">
        <v>260</v>
      </c>
    </row>
    <row r="142" spans="1:21" ht="12.75">
      <c r="A142" s="2">
        <v>40876</v>
      </c>
      <c r="B142" s="8" t="s">
        <v>131</v>
      </c>
      <c r="C142" s="23"/>
      <c r="D142" s="16"/>
      <c r="E142" s="12"/>
      <c r="F142" s="12">
        <f>42.37+24.2</f>
        <v>66.57</v>
      </c>
      <c r="G142" s="12">
        <v>7.84</v>
      </c>
      <c r="H142" s="12"/>
      <c r="I142" s="12"/>
      <c r="J142" s="39"/>
      <c r="K142" s="12"/>
      <c r="L142" s="12">
        <v>20</v>
      </c>
      <c r="M142" s="12"/>
      <c r="N142" s="12"/>
      <c r="O142" s="12"/>
      <c r="P142" s="12"/>
      <c r="Q142" s="12"/>
      <c r="R142" s="12"/>
      <c r="S142" s="12">
        <f>1.5</f>
        <v>1.5</v>
      </c>
      <c r="T142" s="12">
        <v>73</v>
      </c>
      <c r="U142" s="13" t="s">
        <v>136</v>
      </c>
    </row>
    <row r="143" spans="1:21" ht="13.5" thickBot="1">
      <c r="A143" s="2">
        <v>40877</v>
      </c>
      <c r="B143" s="8" t="s">
        <v>132</v>
      </c>
      <c r="C143" s="23">
        <f>41*0.8689741</f>
        <v>35.6279381</v>
      </c>
      <c r="D143" s="16">
        <v>759.3</v>
      </c>
      <c r="E143" s="12"/>
      <c r="F143" s="12"/>
      <c r="G143" s="12"/>
      <c r="H143" s="12"/>
      <c r="I143" s="12"/>
      <c r="J143" s="39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3"/>
    </row>
    <row r="144" spans="1:21" ht="13.5" thickBot="1">
      <c r="A144" s="4" t="s">
        <v>143</v>
      </c>
      <c r="B144" s="20"/>
      <c r="C144" s="27">
        <f>SUM(C113:C143)</f>
        <v>644.7787822</v>
      </c>
      <c r="D144" s="27">
        <f>D138-D107</f>
        <v>122.40000000000009</v>
      </c>
      <c r="E144" s="31">
        <f aca="true" t="shared" si="6" ref="E144:T144">SUM(E113:E143)</f>
        <v>645.06</v>
      </c>
      <c r="F144" s="31">
        <f t="shared" si="6"/>
        <v>66.57</v>
      </c>
      <c r="G144" s="31">
        <f t="shared" si="6"/>
        <v>262.55</v>
      </c>
      <c r="H144" s="31">
        <f t="shared" si="6"/>
        <v>167.18</v>
      </c>
      <c r="I144" s="31">
        <f t="shared" si="6"/>
        <v>199.33999999999997</v>
      </c>
      <c r="J144" s="40">
        <f t="shared" si="6"/>
        <v>46.706999999999994</v>
      </c>
      <c r="K144" s="31">
        <f t="shared" si="6"/>
        <v>0</v>
      </c>
      <c r="L144" s="31">
        <f t="shared" si="6"/>
        <v>20</v>
      </c>
      <c r="M144" s="31">
        <f t="shared" si="6"/>
        <v>86.25</v>
      </c>
      <c r="N144" s="31">
        <f t="shared" si="6"/>
        <v>162.92000000000002</v>
      </c>
      <c r="O144" s="31">
        <f t="shared" si="6"/>
        <v>0</v>
      </c>
      <c r="P144" s="31">
        <f t="shared" si="6"/>
        <v>148.62</v>
      </c>
      <c r="Q144" s="31">
        <f t="shared" si="6"/>
        <v>140</v>
      </c>
      <c r="R144" s="31">
        <f>SUM(R113:R143)</f>
        <v>25</v>
      </c>
      <c r="S144" s="31">
        <f>SUM(S113:S143)</f>
        <v>6.64</v>
      </c>
      <c r="T144" s="31">
        <f t="shared" si="6"/>
        <v>639.78</v>
      </c>
      <c r="U144" s="30">
        <f>SUM(E144:T144)-J144</f>
        <v>2569.91</v>
      </c>
    </row>
    <row r="145" spans="1:21" ht="13.5" thickBot="1">
      <c r="A145" s="4" t="s">
        <v>144</v>
      </c>
      <c r="B145" s="20"/>
      <c r="C145" s="27">
        <f>C144+C110</f>
        <v>1642.115136</v>
      </c>
      <c r="D145" s="27">
        <f>D144+D110</f>
        <v>411.20000000000005</v>
      </c>
      <c r="E145" s="31">
        <f>E144+E110</f>
        <v>2050.44</v>
      </c>
      <c r="F145" s="31">
        <f aca="true" t="shared" si="7" ref="F145:T145">F144+F110</f>
        <v>217.01</v>
      </c>
      <c r="G145" s="31">
        <f t="shared" si="7"/>
        <v>590.51</v>
      </c>
      <c r="H145" s="31">
        <f t="shared" si="7"/>
        <v>840.0800000000002</v>
      </c>
      <c r="I145" s="31">
        <f t="shared" si="7"/>
        <v>590.5799999999999</v>
      </c>
      <c r="J145" s="40">
        <f t="shared" si="7"/>
        <v>139.214</v>
      </c>
      <c r="K145" s="31">
        <f t="shared" si="7"/>
        <v>17.83</v>
      </c>
      <c r="L145" s="31">
        <f t="shared" si="7"/>
        <v>45</v>
      </c>
      <c r="M145" s="31">
        <f t="shared" si="7"/>
        <v>818.29</v>
      </c>
      <c r="N145" s="31">
        <f t="shared" si="7"/>
        <v>252.92000000000002</v>
      </c>
      <c r="O145" s="31">
        <f t="shared" si="7"/>
        <v>0</v>
      </c>
      <c r="P145" s="31">
        <f t="shared" si="7"/>
        <v>3760.25</v>
      </c>
      <c r="Q145" s="31">
        <f t="shared" si="7"/>
        <v>200</v>
      </c>
      <c r="R145" s="31">
        <f>R144+R110</f>
        <v>127</v>
      </c>
      <c r="S145" s="31">
        <f>S144+S110</f>
        <v>27.89</v>
      </c>
      <c r="T145" s="31">
        <f t="shared" si="7"/>
        <v>1865.29</v>
      </c>
      <c r="U145" s="30">
        <f>SUM(E145:T145)-J145</f>
        <v>11403.09</v>
      </c>
    </row>
    <row r="146" ht="13.5" thickBot="1">
      <c r="A146" s="2"/>
    </row>
    <row r="147" ht="13.5" thickBot="1">
      <c r="A147" s="3" t="s">
        <v>13</v>
      </c>
    </row>
    <row r="148" ht="12.75">
      <c r="A148" s="2"/>
    </row>
    <row r="149" spans="1:21" ht="12.75">
      <c r="A149" s="2">
        <v>40878</v>
      </c>
      <c r="B149" s="8" t="s">
        <v>137</v>
      </c>
      <c r="C149" s="23">
        <f>49*0.8689741</f>
        <v>42.5797309</v>
      </c>
      <c r="D149" s="16">
        <v>766.5</v>
      </c>
      <c r="E149" s="13"/>
      <c r="F149" s="13"/>
      <c r="G149" s="13"/>
      <c r="H149" s="13"/>
      <c r="I149" s="13"/>
      <c r="J149" s="41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</row>
    <row r="150" spans="1:21" ht="12.75">
      <c r="A150" s="2">
        <v>40879</v>
      </c>
      <c r="B150" s="8" t="s">
        <v>138</v>
      </c>
      <c r="C150" s="23">
        <f>49.5*0.8689741</f>
        <v>43.014217949999995</v>
      </c>
      <c r="D150" s="16">
        <v>755.1</v>
      </c>
      <c r="E150" s="12"/>
      <c r="F150" s="12"/>
      <c r="G150" s="12"/>
      <c r="H150" s="12"/>
      <c r="I150" s="12"/>
      <c r="J150" s="39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3"/>
    </row>
    <row r="151" spans="1:21" ht="12.75">
      <c r="A151" s="2">
        <v>40880</v>
      </c>
      <c r="B151" s="8" t="s">
        <v>138</v>
      </c>
      <c r="C151" s="23"/>
      <c r="D151" s="16"/>
      <c r="E151" s="12">
        <v>73.43</v>
      </c>
      <c r="F151" s="12"/>
      <c r="G151" s="12"/>
      <c r="H151" s="12"/>
      <c r="I151" s="12"/>
      <c r="J151" s="39"/>
      <c r="K151" s="12"/>
      <c r="L151" s="12"/>
      <c r="M151" s="12"/>
      <c r="N151" s="12"/>
      <c r="O151" s="12"/>
      <c r="P151" s="12">
        <v>63.69</v>
      </c>
      <c r="Q151" s="12"/>
      <c r="R151" s="12"/>
      <c r="S151" s="12"/>
      <c r="T151" s="12"/>
      <c r="U151" s="19" t="s">
        <v>140</v>
      </c>
    </row>
    <row r="152" spans="1:21" ht="12.75">
      <c r="A152" s="2">
        <v>40881</v>
      </c>
      <c r="B152" s="8" t="s">
        <v>138</v>
      </c>
      <c r="C152" s="23"/>
      <c r="D152" s="16"/>
      <c r="E152" s="12">
        <v>56.25</v>
      </c>
      <c r="F152" s="12"/>
      <c r="G152" s="12"/>
      <c r="H152" s="12"/>
      <c r="I152" s="12"/>
      <c r="J152" s="39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3"/>
    </row>
    <row r="153" spans="1:21" ht="12.75">
      <c r="A153" s="2">
        <v>40882</v>
      </c>
      <c r="B153" s="8" t="s">
        <v>138</v>
      </c>
      <c r="C153" s="23"/>
      <c r="D153" s="16"/>
      <c r="E153" s="12">
        <v>13.63</v>
      </c>
      <c r="F153" s="12"/>
      <c r="G153" s="12">
        <f>13.04+4</f>
        <v>17.04</v>
      </c>
      <c r="H153" s="12"/>
      <c r="I153" s="12"/>
      <c r="J153" s="39"/>
      <c r="K153" s="12"/>
      <c r="L153" s="12"/>
      <c r="M153" s="12"/>
      <c r="N153" s="12"/>
      <c r="O153" s="12"/>
      <c r="P153" s="12">
        <v>50.84</v>
      </c>
      <c r="Q153" s="12"/>
      <c r="R153" s="12"/>
      <c r="S153" s="12"/>
      <c r="T153" s="12"/>
      <c r="U153" s="19" t="s">
        <v>140</v>
      </c>
    </row>
    <row r="154" spans="1:21" ht="13.5" thickBot="1">
      <c r="A154" s="2">
        <v>40883</v>
      </c>
      <c r="B154" s="8" t="s">
        <v>138</v>
      </c>
      <c r="C154" s="23"/>
      <c r="D154" s="16"/>
      <c r="E154" s="12">
        <v>112.34</v>
      </c>
      <c r="F154" s="12"/>
      <c r="G154" s="12">
        <v>10.89</v>
      </c>
      <c r="H154" s="12"/>
      <c r="I154" s="12">
        <f>49.78+50.98</f>
        <v>100.75999999999999</v>
      </c>
      <c r="J154" s="39">
        <v>22</v>
      </c>
      <c r="K154" s="12">
        <v>11</v>
      </c>
      <c r="L154" s="12"/>
      <c r="M154" s="12"/>
      <c r="N154" s="12"/>
      <c r="O154" s="12"/>
      <c r="P154" s="12">
        <v>38.66</v>
      </c>
      <c r="Q154" s="12"/>
      <c r="R154" s="12"/>
      <c r="S154" s="12"/>
      <c r="T154" s="12"/>
      <c r="U154" s="19" t="s">
        <v>140</v>
      </c>
    </row>
    <row r="155" spans="1:21" ht="13.5" thickBot="1">
      <c r="A155" s="24" t="s">
        <v>139</v>
      </c>
      <c r="B155" s="25"/>
      <c r="C155" s="23"/>
      <c r="D155" s="16"/>
      <c r="E155" s="12"/>
      <c r="F155" s="12"/>
      <c r="G155" s="12"/>
      <c r="H155" s="12"/>
      <c r="I155" s="12"/>
      <c r="J155" s="39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3"/>
    </row>
    <row r="156" spans="1:21" ht="12.75">
      <c r="A156" s="2">
        <v>40884</v>
      </c>
      <c r="B156" s="7" t="s">
        <v>141</v>
      </c>
      <c r="C156" s="23">
        <v>88.5</v>
      </c>
      <c r="D156" s="16">
        <v>775</v>
      </c>
      <c r="E156" s="12"/>
      <c r="F156" s="12"/>
      <c r="G156" s="12"/>
      <c r="H156" s="12"/>
      <c r="I156" s="12"/>
      <c r="J156" s="39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3"/>
    </row>
    <row r="157" spans="1:21" ht="12.75">
      <c r="A157" s="2">
        <v>40885</v>
      </c>
      <c r="B157" s="7" t="s">
        <v>141</v>
      </c>
      <c r="C157" s="23"/>
      <c r="D157" s="16"/>
      <c r="E157" s="12"/>
      <c r="F157" s="12"/>
      <c r="G157" s="12">
        <f>29.61-14</f>
        <v>15.61</v>
      </c>
      <c r="H157" s="12"/>
      <c r="I157" s="12"/>
      <c r="J157" s="39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3"/>
    </row>
    <row r="158" spans="1:21" ht="12.75">
      <c r="A158" s="2">
        <v>40886</v>
      </c>
      <c r="B158" s="7" t="s">
        <v>141</v>
      </c>
      <c r="C158" s="23"/>
      <c r="D158" s="16"/>
      <c r="E158" s="12"/>
      <c r="F158" s="12"/>
      <c r="G158" s="12"/>
      <c r="H158" s="12"/>
      <c r="I158" s="12"/>
      <c r="J158" s="39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3"/>
    </row>
    <row r="159" spans="1:21" ht="12.75">
      <c r="A159" s="2">
        <v>40887</v>
      </c>
      <c r="B159" s="7" t="s">
        <v>141</v>
      </c>
      <c r="C159" s="23"/>
      <c r="D159" s="16"/>
      <c r="E159" s="12"/>
      <c r="F159" s="12"/>
      <c r="G159" s="12">
        <f>10+29.79</f>
        <v>39.79</v>
      </c>
      <c r="H159" s="12"/>
      <c r="I159" s="12"/>
      <c r="J159" s="39"/>
      <c r="K159" s="12"/>
      <c r="L159" s="12"/>
      <c r="M159" s="12"/>
      <c r="N159" s="12"/>
      <c r="O159" s="12"/>
      <c r="P159" s="12"/>
      <c r="Q159" s="12"/>
      <c r="R159" s="12"/>
      <c r="S159" s="12"/>
      <c r="T159" s="12">
        <f>12+20</f>
        <v>32</v>
      </c>
      <c r="U159" s="19" t="s">
        <v>145</v>
      </c>
    </row>
    <row r="160" spans="1:21" ht="12.75">
      <c r="A160" s="2">
        <v>40888</v>
      </c>
      <c r="B160" s="7" t="s">
        <v>141</v>
      </c>
      <c r="C160" s="23"/>
      <c r="D160" s="16"/>
      <c r="E160" s="12"/>
      <c r="F160" s="12"/>
      <c r="G160" s="12"/>
      <c r="H160" s="12"/>
      <c r="I160" s="12">
        <v>60.72</v>
      </c>
      <c r="J160" s="39">
        <v>10.5</v>
      </c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3"/>
    </row>
    <row r="161" spans="1:21" ht="12.75">
      <c r="A161" s="2">
        <v>40889</v>
      </c>
      <c r="B161" s="7" t="s">
        <v>141</v>
      </c>
      <c r="C161" s="23"/>
      <c r="D161" s="16"/>
      <c r="E161" s="12"/>
      <c r="F161" s="12"/>
      <c r="G161" s="12"/>
      <c r="H161" s="12"/>
      <c r="I161" s="12"/>
      <c r="J161" s="39"/>
      <c r="K161" s="12"/>
      <c r="L161" s="12"/>
      <c r="M161" s="12">
        <v>125</v>
      </c>
      <c r="N161" s="12"/>
      <c r="O161" s="12"/>
      <c r="P161" s="12"/>
      <c r="Q161" s="12"/>
      <c r="R161" s="12">
        <v>14</v>
      </c>
      <c r="S161" s="12"/>
      <c r="T161" s="12">
        <v>46.44</v>
      </c>
      <c r="U161" s="19" t="s">
        <v>263</v>
      </c>
    </row>
    <row r="162" spans="1:21" ht="12.75">
      <c r="A162" s="2">
        <v>40890</v>
      </c>
      <c r="B162" s="7" t="s">
        <v>142</v>
      </c>
      <c r="C162" s="23">
        <f>152-88.5</f>
        <v>63.5</v>
      </c>
      <c r="D162" s="32" t="s">
        <v>147</v>
      </c>
      <c r="E162" s="12"/>
      <c r="F162" s="12"/>
      <c r="G162" s="12"/>
      <c r="H162" s="12"/>
      <c r="I162" s="12"/>
      <c r="J162" s="39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3"/>
    </row>
    <row r="163" spans="1:21" ht="12.75">
      <c r="A163" s="2">
        <v>40891</v>
      </c>
      <c r="B163" s="7" t="s">
        <v>142</v>
      </c>
      <c r="C163" s="23"/>
      <c r="D163" s="16"/>
      <c r="E163" s="12">
        <v>40</v>
      </c>
      <c r="F163" s="12"/>
      <c r="G163" s="12"/>
      <c r="H163" s="12"/>
      <c r="I163" s="12"/>
      <c r="J163" s="39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3"/>
    </row>
    <row r="164" spans="1:21" ht="12.75">
      <c r="A164" s="2">
        <v>40892</v>
      </c>
      <c r="B164" s="7" t="s">
        <v>142</v>
      </c>
      <c r="C164" s="23"/>
      <c r="D164" s="16"/>
      <c r="E164" s="12"/>
      <c r="F164" s="12"/>
      <c r="G164" s="12"/>
      <c r="H164" s="12"/>
      <c r="I164" s="12"/>
      <c r="J164" s="39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3"/>
    </row>
    <row r="165" spans="1:21" ht="12.75">
      <c r="A165" s="2">
        <v>40893</v>
      </c>
      <c r="B165" s="7" t="s">
        <v>148</v>
      </c>
      <c r="C165" s="23">
        <f>196-152</f>
        <v>44</v>
      </c>
      <c r="D165" s="16">
        <v>804</v>
      </c>
      <c r="E165" s="12"/>
      <c r="F165" s="12"/>
      <c r="G165" s="12"/>
      <c r="H165" s="12"/>
      <c r="I165" s="12"/>
      <c r="J165" s="39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3"/>
    </row>
    <row r="166" spans="1:21" ht="12.75">
      <c r="A166" s="2">
        <v>40894</v>
      </c>
      <c r="B166" s="7" t="s">
        <v>148</v>
      </c>
      <c r="C166" s="23"/>
      <c r="D166" s="16"/>
      <c r="E166" s="12"/>
      <c r="F166" s="12"/>
      <c r="G166" s="12"/>
      <c r="H166" s="12"/>
      <c r="I166" s="12"/>
      <c r="J166" s="39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3"/>
    </row>
    <row r="167" spans="1:21" ht="12.75">
      <c r="A167" s="2">
        <v>40895</v>
      </c>
      <c r="B167" s="7" t="s">
        <v>149</v>
      </c>
      <c r="C167" s="23">
        <v>40</v>
      </c>
      <c r="D167" s="16">
        <v>812.1</v>
      </c>
      <c r="E167" s="12"/>
      <c r="F167" s="12"/>
      <c r="G167" s="12"/>
      <c r="H167" s="12"/>
      <c r="I167" s="12"/>
      <c r="J167" s="39"/>
      <c r="K167" s="12"/>
      <c r="L167" s="12"/>
      <c r="M167" s="12"/>
      <c r="N167" s="12"/>
      <c r="O167" s="12"/>
      <c r="P167" s="12"/>
      <c r="Q167" s="12"/>
      <c r="R167" s="12"/>
      <c r="S167" s="12"/>
      <c r="T167" s="12">
        <v>33.9</v>
      </c>
      <c r="U167" s="19" t="s">
        <v>150</v>
      </c>
    </row>
    <row r="168" spans="1:21" ht="12.75">
      <c r="A168" s="2">
        <v>40896</v>
      </c>
      <c r="B168" s="7" t="s">
        <v>149</v>
      </c>
      <c r="C168" s="23"/>
      <c r="D168" s="16"/>
      <c r="E168" s="12"/>
      <c r="F168" s="12"/>
      <c r="G168" s="12">
        <v>106.5</v>
      </c>
      <c r="H168" s="12"/>
      <c r="I168" s="12"/>
      <c r="J168" s="39"/>
      <c r="K168" s="12"/>
      <c r="L168" s="12"/>
      <c r="M168" s="12"/>
      <c r="N168" s="12"/>
      <c r="O168" s="12"/>
      <c r="P168" s="12">
        <v>20.25</v>
      </c>
      <c r="Q168" s="12"/>
      <c r="R168" s="12"/>
      <c r="S168" s="12"/>
      <c r="T168" s="12">
        <f>83.8+11.25</f>
        <v>95.05</v>
      </c>
      <c r="U168" s="19" t="s">
        <v>151</v>
      </c>
    </row>
    <row r="169" spans="1:21" ht="12.75">
      <c r="A169" s="2">
        <v>40897</v>
      </c>
      <c r="B169" s="7" t="s">
        <v>149</v>
      </c>
      <c r="C169" s="23"/>
      <c r="D169" s="16"/>
      <c r="E169" s="12">
        <v>22.05</v>
      </c>
      <c r="F169" s="12"/>
      <c r="G169" s="12"/>
      <c r="H169" s="12"/>
      <c r="I169" s="12"/>
      <c r="J169" s="39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3"/>
    </row>
    <row r="170" spans="1:21" ht="12.75">
      <c r="A170" s="2">
        <v>40898</v>
      </c>
      <c r="B170" s="7" t="s">
        <v>149</v>
      </c>
      <c r="C170" s="23"/>
      <c r="D170" s="16"/>
      <c r="E170" s="12">
        <v>35</v>
      </c>
      <c r="F170" s="12"/>
      <c r="G170" s="12"/>
      <c r="H170" s="12"/>
      <c r="I170" s="12"/>
      <c r="J170" s="39"/>
      <c r="K170" s="12"/>
      <c r="L170" s="12"/>
      <c r="M170" s="12"/>
      <c r="N170" s="12"/>
      <c r="O170" s="12"/>
      <c r="P170" s="12"/>
      <c r="Q170" s="12"/>
      <c r="R170" s="12">
        <v>42</v>
      </c>
      <c r="S170" s="12"/>
      <c r="T170" s="12"/>
      <c r="U170" s="19" t="s">
        <v>152</v>
      </c>
    </row>
    <row r="171" spans="1:21" ht="12.75">
      <c r="A171" s="2">
        <v>40899</v>
      </c>
      <c r="B171" s="7" t="s">
        <v>149</v>
      </c>
      <c r="C171" s="23"/>
      <c r="D171" s="16"/>
      <c r="E171" s="12">
        <f>5.85+21.39+2.59</f>
        <v>29.830000000000002</v>
      </c>
      <c r="F171" s="12"/>
      <c r="G171" s="12"/>
      <c r="H171" s="12">
        <v>20.7</v>
      </c>
      <c r="I171" s="12"/>
      <c r="J171" s="39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3"/>
    </row>
    <row r="172" spans="1:21" ht="12.75">
      <c r="A172" s="2">
        <v>40900</v>
      </c>
      <c r="B172" s="7" t="s">
        <v>149</v>
      </c>
      <c r="C172" s="23"/>
      <c r="D172" s="16"/>
      <c r="E172" s="12">
        <v>5.37</v>
      </c>
      <c r="F172" s="12"/>
      <c r="G172" s="12"/>
      <c r="H172" s="12">
        <f>58.3+87.7</f>
        <v>146</v>
      </c>
      <c r="I172" s="12"/>
      <c r="J172" s="39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3"/>
    </row>
    <row r="173" spans="1:21" ht="12.75">
      <c r="A173" s="2">
        <v>40901</v>
      </c>
      <c r="B173" s="7" t="s">
        <v>149</v>
      </c>
      <c r="C173" s="23"/>
      <c r="D173" s="16"/>
      <c r="E173" s="12">
        <f>32.47+111.96</f>
        <v>144.43</v>
      </c>
      <c r="F173" s="12"/>
      <c r="G173" s="12"/>
      <c r="H173" s="12"/>
      <c r="I173" s="12">
        <v>50</v>
      </c>
      <c r="J173" s="39">
        <v>9.656</v>
      </c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3"/>
    </row>
    <row r="174" spans="1:21" ht="12.75">
      <c r="A174" s="2">
        <v>40902</v>
      </c>
      <c r="B174" s="7" t="s">
        <v>149</v>
      </c>
      <c r="C174" s="23"/>
      <c r="D174" s="16"/>
      <c r="E174" s="12"/>
      <c r="F174" s="12"/>
      <c r="G174" s="12"/>
      <c r="H174" s="12"/>
      <c r="I174" s="12"/>
      <c r="J174" s="39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3"/>
    </row>
    <row r="175" spans="1:21" ht="12.75">
      <c r="A175" s="2">
        <v>40903</v>
      </c>
      <c r="B175" s="7" t="s">
        <v>149</v>
      </c>
      <c r="C175" s="23"/>
      <c r="D175" s="16"/>
      <c r="E175" s="12">
        <v>20</v>
      </c>
      <c r="F175" s="12"/>
      <c r="G175" s="12"/>
      <c r="H175" s="12"/>
      <c r="I175" s="12"/>
      <c r="J175" s="39"/>
      <c r="K175" s="12"/>
      <c r="L175" s="12"/>
      <c r="M175" s="12"/>
      <c r="N175" s="12"/>
      <c r="O175" s="12"/>
      <c r="P175" s="12"/>
      <c r="Q175" s="12"/>
      <c r="R175" s="12"/>
      <c r="S175" s="12">
        <v>6</v>
      </c>
      <c r="T175" s="12"/>
      <c r="U175" s="19" t="s">
        <v>154</v>
      </c>
    </row>
    <row r="176" spans="1:21" ht="12.75">
      <c r="A176" s="2">
        <v>40904</v>
      </c>
      <c r="B176" s="7" t="s">
        <v>149</v>
      </c>
      <c r="C176" s="23"/>
      <c r="D176" s="16"/>
      <c r="E176" s="12">
        <v>53.74</v>
      </c>
      <c r="F176" s="12"/>
      <c r="G176" s="12">
        <v>28.75</v>
      </c>
      <c r="H176" s="12"/>
      <c r="I176" s="12"/>
      <c r="J176" s="39"/>
      <c r="K176" s="12"/>
      <c r="L176" s="12"/>
      <c r="M176" s="12">
        <v>270</v>
      </c>
      <c r="N176" s="12"/>
      <c r="O176" s="12"/>
      <c r="P176" s="12">
        <v>27.98</v>
      </c>
      <c r="Q176" s="12"/>
      <c r="R176" s="12"/>
      <c r="S176" s="12"/>
      <c r="T176" s="12">
        <f>20.95+14</f>
        <v>34.95</v>
      </c>
      <c r="U176" s="19" t="s">
        <v>150</v>
      </c>
    </row>
    <row r="177" spans="1:21" ht="12.75">
      <c r="A177" s="2">
        <v>40905</v>
      </c>
      <c r="B177" s="7" t="s">
        <v>153</v>
      </c>
      <c r="C177" s="23">
        <v>35.8</v>
      </c>
      <c r="D177" s="16">
        <v>813.4</v>
      </c>
      <c r="E177" s="12"/>
      <c r="F177" s="12"/>
      <c r="G177" s="12"/>
      <c r="H177" s="12"/>
      <c r="I177" s="12"/>
      <c r="J177" s="39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3"/>
    </row>
    <row r="178" spans="1:21" ht="12.75">
      <c r="A178" s="2">
        <v>40906</v>
      </c>
      <c r="B178" s="7" t="s">
        <v>155</v>
      </c>
      <c r="C178" s="23"/>
      <c r="D178" s="16"/>
      <c r="E178" s="12"/>
      <c r="F178" s="12"/>
      <c r="G178" s="12"/>
      <c r="H178" s="12"/>
      <c r="I178" s="12"/>
      <c r="J178" s="39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3"/>
    </row>
    <row r="179" spans="1:21" ht="12.75">
      <c r="A179" s="2">
        <v>40907</v>
      </c>
      <c r="B179" s="7" t="s">
        <v>156</v>
      </c>
      <c r="C179" s="23">
        <v>12.6</v>
      </c>
      <c r="D179" s="16">
        <v>816.6</v>
      </c>
      <c r="E179" s="12"/>
      <c r="F179" s="12"/>
      <c r="G179" s="12">
        <v>21</v>
      </c>
      <c r="H179" s="12"/>
      <c r="I179" s="12"/>
      <c r="J179" s="39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3"/>
    </row>
    <row r="180" spans="1:21" ht="13.5" thickBot="1">
      <c r="A180" s="2">
        <v>40908</v>
      </c>
      <c r="B180" s="7" t="s">
        <v>157</v>
      </c>
      <c r="C180" s="23"/>
      <c r="D180" s="16"/>
      <c r="E180" s="12"/>
      <c r="F180" s="12"/>
      <c r="G180" s="12">
        <v>54</v>
      </c>
      <c r="H180" s="12"/>
      <c r="I180" s="12"/>
      <c r="J180" s="39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3"/>
    </row>
    <row r="181" spans="1:21" ht="13.5" thickBot="1">
      <c r="A181" s="4" t="s">
        <v>143</v>
      </c>
      <c r="B181" s="20"/>
      <c r="C181" s="27">
        <f>SUM(C150:C180)</f>
        <v>327.41421795</v>
      </c>
      <c r="D181" s="27">
        <f>D179-D143</f>
        <v>57.30000000000007</v>
      </c>
      <c r="E181" s="31">
        <f aca="true" t="shared" si="8" ref="E181:T181">SUM(E150:E180)</f>
        <v>606.0699999999999</v>
      </c>
      <c r="F181" s="31">
        <f t="shared" si="8"/>
        <v>0</v>
      </c>
      <c r="G181" s="31">
        <f t="shared" si="8"/>
        <v>293.58</v>
      </c>
      <c r="H181" s="31">
        <f t="shared" si="8"/>
        <v>166.7</v>
      </c>
      <c r="I181" s="31">
        <f t="shared" si="8"/>
        <v>211.48</v>
      </c>
      <c r="J181" s="40">
        <f t="shared" si="8"/>
        <v>42.156</v>
      </c>
      <c r="K181" s="31">
        <f t="shared" si="8"/>
        <v>11</v>
      </c>
      <c r="L181" s="31">
        <f t="shared" si="8"/>
        <v>0</v>
      </c>
      <c r="M181" s="31">
        <f t="shared" si="8"/>
        <v>395</v>
      </c>
      <c r="N181" s="31">
        <f t="shared" si="8"/>
        <v>0</v>
      </c>
      <c r="O181" s="31">
        <f t="shared" si="8"/>
        <v>0</v>
      </c>
      <c r="P181" s="31">
        <f t="shared" si="8"/>
        <v>201.42</v>
      </c>
      <c r="Q181" s="31">
        <f t="shared" si="8"/>
        <v>0</v>
      </c>
      <c r="R181" s="31">
        <f>SUM(R150:R180)</f>
        <v>56</v>
      </c>
      <c r="S181" s="31">
        <f>SUM(S150:S180)</f>
        <v>6</v>
      </c>
      <c r="T181" s="31">
        <f t="shared" si="8"/>
        <v>242.33999999999997</v>
      </c>
      <c r="U181" s="30">
        <f>SUM(E181:T181)-J181</f>
        <v>2189.59</v>
      </c>
    </row>
    <row r="182" spans="1:21" ht="13.5" thickBot="1">
      <c r="A182" s="4" t="s">
        <v>144</v>
      </c>
      <c r="B182" s="20"/>
      <c r="C182" s="27">
        <f>C181+C145</f>
        <v>1969.5293539499999</v>
      </c>
      <c r="D182" s="27">
        <f>D181+D145</f>
        <v>468.5000000000001</v>
      </c>
      <c r="E182" s="31">
        <f>E181+E145</f>
        <v>2656.51</v>
      </c>
      <c r="F182" s="31">
        <f aca="true" t="shared" si="9" ref="F182:T182">F181+F145</f>
        <v>217.01</v>
      </c>
      <c r="G182" s="31">
        <f t="shared" si="9"/>
        <v>884.0899999999999</v>
      </c>
      <c r="H182" s="31">
        <f t="shared" si="9"/>
        <v>1006.7800000000002</v>
      </c>
      <c r="I182" s="31">
        <f t="shared" si="9"/>
        <v>802.06</v>
      </c>
      <c r="J182" s="40">
        <f t="shared" si="9"/>
        <v>181.37</v>
      </c>
      <c r="K182" s="31">
        <f t="shared" si="9"/>
        <v>28.83</v>
      </c>
      <c r="L182" s="31">
        <f t="shared" si="9"/>
        <v>45</v>
      </c>
      <c r="M182" s="31">
        <f t="shared" si="9"/>
        <v>1213.29</v>
      </c>
      <c r="N182" s="31">
        <f t="shared" si="9"/>
        <v>252.92000000000002</v>
      </c>
      <c r="O182" s="31">
        <f t="shared" si="9"/>
        <v>0</v>
      </c>
      <c r="P182" s="31">
        <f t="shared" si="9"/>
        <v>3961.67</v>
      </c>
      <c r="Q182" s="31">
        <f t="shared" si="9"/>
        <v>200</v>
      </c>
      <c r="R182" s="31">
        <f>R181+R145</f>
        <v>183</v>
      </c>
      <c r="S182" s="31">
        <f>S181+S145</f>
        <v>33.89</v>
      </c>
      <c r="T182" s="31">
        <f t="shared" si="9"/>
        <v>2107.63</v>
      </c>
      <c r="U182" s="30">
        <f>SUM(E182:T182)-J182</f>
        <v>13592.679999999998</v>
      </c>
    </row>
    <row r="183" ht="13.5" thickBot="1">
      <c r="A183" s="2"/>
    </row>
    <row r="184" ht="13.5" thickBot="1">
      <c r="A184" s="3" t="s">
        <v>14</v>
      </c>
    </row>
    <row r="185" ht="12.75">
      <c r="A185" s="2"/>
    </row>
    <row r="186" spans="1:21" ht="12.75">
      <c r="A186" s="2">
        <v>40909</v>
      </c>
      <c r="B186" s="7" t="s">
        <v>158</v>
      </c>
      <c r="C186" s="23">
        <v>3.2</v>
      </c>
      <c r="D186" s="16">
        <v>817.8</v>
      </c>
      <c r="E186" s="12"/>
      <c r="F186" s="12"/>
      <c r="G186" s="12"/>
      <c r="H186" s="12"/>
      <c r="I186" s="12"/>
      <c r="J186" s="39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3"/>
    </row>
    <row r="187" spans="1:21" ht="12.75">
      <c r="A187" s="2">
        <v>40910</v>
      </c>
      <c r="B187" s="7" t="s">
        <v>158</v>
      </c>
      <c r="C187" s="23"/>
      <c r="D187" s="16"/>
      <c r="E187" s="12"/>
      <c r="F187" s="12"/>
      <c r="G187" s="12"/>
      <c r="H187" s="12"/>
      <c r="I187" s="12"/>
      <c r="J187" s="39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3"/>
    </row>
    <row r="188" spans="1:21" ht="12.75">
      <c r="A188" s="2">
        <v>40911</v>
      </c>
      <c r="B188" s="7" t="s">
        <v>158</v>
      </c>
      <c r="C188" s="23"/>
      <c r="D188" s="16"/>
      <c r="E188" s="12"/>
      <c r="F188" s="12"/>
      <c r="G188" s="12"/>
      <c r="H188" s="12"/>
      <c r="I188" s="12"/>
      <c r="J188" s="39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3"/>
    </row>
    <row r="189" spans="1:21" ht="12.75">
      <c r="A189" s="2">
        <v>40912</v>
      </c>
      <c r="B189" s="7" t="s">
        <v>158</v>
      </c>
      <c r="C189" s="23"/>
      <c r="D189" s="16"/>
      <c r="E189" s="12"/>
      <c r="F189" s="12"/>
      <c r="G189" s="12"/>
      <c r="H189" s="12"/>
      <c r="I189" s="12"/>
      <c r="J189" s="39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3"/>
    </row>
    <row r="190" spans="1:21" ht="12.75">
      <c r="A190" s="2">
        <v>40913</v>
      </c>
      <c r="B190" s="7" t="s">
        <v>158</v>
      </c>
      <c r="C190" s="23"/>
      <c r="D190" s="16"/>
      <c r="E190" s="12"/>
      <c r="F190" s="12"/>
      <c r="G190" s="12">
        <v>28</v>
      </c>
      <c r="H190" s="12"/>
      <c r="I190" s="12"/>
      <c r="J190" s="39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3"/>
    </row>
    <row r="191" spans="1:21" ht="12.75">
      <c r="A191" s="2">
        <v>40914</v>
      </c>
      <c r="B191" s="7" t="s">
        <v>159</v>
      </c>
      <c r="C191" s="23">
        <v>4.8</v>
      </c>
      <c r="D191" s="16">
        <v>822.1</v>
      </c>
      <c r="E191" s="12"/>
      <c r="F191" s="12"/>
      <c r="G191" s="12"/>
      <c r="H191" s="12"/>
      <c r="I191" s="12"/>
      <c r="J191" s="39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3"/>
    </row>
    <row r="192" spans="1:21" ht="12.75">
      <c r="A192" s="2">
        <v>40915</v>
      </c>
      <c r="B192" s="7" t="s">
        <v>159</v>
      </c>
      <c r="C192" s="23"/>
      <c r="D192" s="16"/>
      <c r="E192" s="12"/>
      <c r="F192" s="12"/>
      <c r="G192" s="12"/>
      <c r="H192" s="12"/>
      <c r="I192" s="12"/>
      <c r="J192" s="39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3"/>
    </row>
    <row r="193" spans="1:21" ht="12.75">
      <c r="A193" s="2">
        <v>40916</v>
      </c>
      <c r="B193" s="7" t="s">
        <v>160</v>
      </c>
      <c r="C193" s="23">
        <v>17.4</v>
      </c>
      <c r="D193" s="16">
        <v>825.9</v>
      </c>
      <c r="E193" s="12"/>
      <c r="F193" s="12"/>
      <c r="G193" s="12"/>
      <c r="H193" s="12"/>
      <c r="I193" s="12"/>
      <c r="J193" s="39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3"/>
    </row>
    <row r="194" spans="1:21" ht="12.75">
      <c r="A194" s="2">
        <v>40917</v>
      </c>
      <c r="B194" s="7" t="s">
        <v>161</v>
      </c>
      <c r="C194" s="23"/>
      <c r="D194" s="16"/>
      <c r="E194" s="12"/>
      <c r="F194" s="12"/>
      <c r="G194" s="12"/>
      <c r="H194" s="12"/>
      <c r="I194" s="12"/>
      <c r="J194" s="39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3"/>
    </row>
    <row r="195" spans="1:21" ht="12.75">
      <c r="A195" s="2">
        <v>40918</v>
      </c>
      <c r="B195" s="7" t="s">
        <v>162</v>
      </c>
      <c r="C195" s="23">
        <v>18.1</v>
      </c>
      <c r="D195" s="16">
        <v>831</v>
      </c>
      <c r="E195" s="12"/>
      <c r="F195" s="12"/>
      <c r="G195" s="12">
        <v>51.92</v>
      </c>
      <c r="H195" s="12"/>
      <c r="I195" s="12"/>
      <c r="J195" s="39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3" t="s">
        <v>214</v>
      </c>
    </row>
    <row r="196" spans="1:21" ht="12.75">
      <c r="A196" s="2">
        <v>40919</v>
      </c>
      <c r="B196" s="7" t="s">
        <v>163</v>
      </c>
      <c r="C196" s="23">
        <v>10.7</v>
      </c>
      <c r="D196" s="16">
        <v>833.7</v>
      </c>
      <c r="E196" s="12"/>
      <c r="F196" s="12"/>
      <c r="G196" s="12"/>
      <c r="H196" s="12"/>
      <c r="I196" s="12"/>
      <c r="J196" s="39"/>
      <c r="K196" s="12"/>
      <c r="L196" s="12"/>
      <c r="M196" s="12"/>
      <c r="N196" s="12"/>
      <c r="O196" s="12"/>
      <c r="P196" s="12"/>
      <c r="Q196" s="12"/>
      <c r="R196" s="12">
        <v>14</v>
      </c>
      <c r="S196" s="12"/>
      <c r="T196" s="12"/>
      <c r="U196" s="19" t="s">
        <v>261</v>
      </c>
    </row>
    <row r="197" spans="1:21" ht="12.75">
      <c r="A197" s="2">
        <v>40920</v>
      </c>
      <c r="B197" s="7" t="s">
        <v>164</v>
      </c>
      <c r="C197" s="23">
        <v>4.8</v>
      </c>
      <c r="D197" s="16">
        <v>835.9</v>
      </c>
      <c r="E197" s="12">
        <v>26.41</v>
      </c>
      <c r="F197" s="12"/>
      <c r="G197" s="12"/>
      <c r="H197" s="12"/>
      <c r="I197" s="12"/>
      <c r="J197" s="39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3"/>
    </row>
    <row r="198" spans="1:21" ht="12.75">
      <c r="A198" s="2">
        <v>40921</v>
      </c>
      <c r="B198" s="7" t="s">
        <v>165</v>
      </c>
      <c r="C198" s="23">
        <v>10.6</v>
      </c>
      <c r="D198" s="16">
        <v>840</v>
      </c>
      <c r="E198" s="12"/>
      <c r="F198" s="12"/>
      <c r="G198" s="12"/>
      <c r="H198" s="12"/>
      <c r="I198" s="12"/>
      <c r="J198" s="39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3"/>
    </row>
    <row r="199" spans="1:21" ht="12.75">
      <c r="A199" s="2">
        <v>40922</v>
      </c>
      <c r="B199" s="7" t="s">
        <v>167</v>
      </c>
      <c r="C199" s="23"/>
      <c r="D199" s="16"/>
      <c r="E199" s="12"/>
      <c r="F199" s="12"/>
      <c r="G199" s="12">
        <v>57</v>
      </c>
      <c r="H199" s="12"/>
      <c r="I199" s="12"/>
      <c r="J199" s="39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3"/>
    </row>
    <row r="200" spans="1:21" ht="12.75">
      <c r="A200" s="2">
        <v>40923</v>
      </c>
      <c r="B200" s="7" t="s">
        <v>167</v>
      </c>
      <c r="C200" s="23"/>
      <c r="D200" s="16"/>
      <c r="E200" s="12">
        <v>3</v>
      </c>
      <c r="F200" s="12"/>
      <c r="G200" s="12"/>
      <c r="H200" s="12">
        <v>16</v>
      </c>
      <c r="I200" s="12"/>
      <c r="J200" s="39"/>
      <c r="K200" s="12"/>
      <c r="L200" s="12"/>
      <c r="M200" s="12"/>
      <c r="N200" s="12"/>
      <c r="O200" s="12"/>
      <c r="P200" s="12"/>
      <c r="Q200" s="12"/>
      <c r="R200" s="12"/>
      <c r="S200" s="12"/>
      <c r="T200" s="12">
        <v>1.5</v>
      </c>
      <c r="U200" s="13"/>
    </row>
    <row r="201" spans="1:21" ht="12.75">
      <c r="A201" s="2">
        <v>40924</v>
      </c>
      <c r="B201" s="7" t="s">
        <v>167</v>
      </c>
      <c r="C201" s="23"/>
      <c r="D201" s="16"/>
      <c r="E201" s="12">
        <v>7</v>
      </c>
      <c r="F201" s="12"/>
      <c r="G201" s="12"/>
      <c r="H201" s="12"/>
      <c r="I201" s="12"/>
      <c r="J201" s="39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3"/>
    </row>
    <row r="202" spans="1:21" ht="12.75">
      <c r="A202" s="2">
        <v>40925</v>
      </c>
      <c r="B202" s="7" t="s">
        <v>166</v>
      </c>
      <c r="C202" s="23">
        <v>10.2</v>
      </c>
      <c r="D202" s="16">
        <v>843</v>
      </c>
      <c r="E202" s="12"/>
      <c r="F202" s="12"/>
      <c r="G202" s="12">
        <v>34</v>
      </c>
      <c r="H202" s="12"/>
      <c r="I202" s="12"/>
      <c r="J202" s="39"/>
      <c r="K202" s="12"/>
      <c r="L202" s="12"/>
      <c r="M202" s="12"/>
      <c r="N202" s="12"/>
      <c r="O202" s="12"/>
      <c r="P202" s="12"/>
      <c r="Q202" s="12"/>
      <c r="R202" s="12"/>
      <c r="S202" s="12">
        <v>7</v>
      </c>
      <c r="T202" s="12"/>
      <c r="U202" s="13" t="s">
        <v>215</v>
      </c>
    </row>
    <row r="203" spans="1:21" ht="12.75">
      <c r="A203" s="2">
        <v>40926</v>
      </c>
      <c r="B203" s="7" t="s">
        <v>168</v>
      </c>
      <c r="C203" s="23"/>
      <c r="D203" s="16"/>
      <c r="E203" s="12"/>
      <c r="F203" s="12"/>
      <c r="G203" s="12"/>
      <c r="H203" s="12"/>
      <c r="I203" s="12"/>
      <c r="J203" s="39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3"/>
    </row>
    <row r="204" spans="1:21" ht="12.75">
      <c r="A204" s="2">
        <v>40927</v>
      </c>
      <c r="B204" s="7" t="s">
        <v>168</v>
      </c>
      <c r="C204" s="23"/>
      <c r="D204" s="16"/>
      <c r="E204" s="12"/>
      <c r="F204" s="12"/>
      <c r="G204" s="12"/>
      <c r="H204" s="12"/>
      <c r="I204" s="12"/>
      <c r="J204" s="39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3"/>
    </row>
    <row r="205" spans="1:21" ht="12.75">
      <c r="A205" s="2">
        <v>40928</v>
      </c>
      <c r="B205" s="7" t="s">
        <v>168</v>
      </c>
      <c r="C205" s="23"/>
      <c r="D205" s="16"/>
      <c r="E205" s="12">
        <v>47.5</v>
      </c>
      <c r="F205" s="12"/>
      <c r="G205" s="12"/>
      <c r="H205" s="12"/>
      <c r="I205" s="12"/>
      <c r="J205" s="39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3"/>
    </row>
    <row r="206" spans="1:21" ht="12.75">
      <c r="A206" s="2">
        <v>40929</v>
      </c>
      <c r="B206" s="7" t="s">
        <v>168</v>
      </c>
      <c r="C206" s="23"/>
      <c r="D206" s="16"/>
      <c r="E206" s="12"/>
      <c r="F206" s="12"/>
      <c r="G206" s="12"/>
      <c r="H206" s="12"/>
      <c r="I206" s="12"/>
      <c r="J206" s="39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3"/>
    </row>
    <row r="207" spans="1:21" ht="12.75">
      <c r="A207" s="2">
        <v>40930</v>
      </c>
      <c r="B207" s="7" t="s">
        <v>168</v>
      </c>
      <c r="C207" s="23"/>
      <c r="D207" s="16"/>
      <c r="E207" s="12"/>
      <c r="F207" s="12"/>
      <c r="G207" s="12"/>
      <c r="H207" s="12"/>
      <c r="I207" s="12"/>
      <c r="J207" s="39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3"/>
    </row>
    <row r="208" spans="1:21" ht="12.75">
      <c r="A208" s="2">
        <v>40931</v>
      </c>
      <c r="B208" s="7" t="s">
        <v>168</v>
      </c>
      <c r="C208" s="23"/>
      <c r="D208" s="16"/>
      <c r="E208" s="12">
        <v>11.2</v>
      </c>
      <c r="F208" s="12"/>
      <c r="G208" s="12"/>
      <c r="H208" s="12">
        <v>23</v>
      </c>
      <c r="I208" s="12"/>
      <c r="J208" s="39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3"/>
    </row>
    <row r="209" spans="1:21" ht="12.75">
      <c r="A209" s="2">
        <v>40932</v>
      </c>
      <c r="B209" s="7" t="s">
        <v>168</v>
      </c>
      <c r="C209" s="23"/>
      <c r="D209" s="16"/>
      <c r="E209" s="12">
        <v>44.5</v>
      </c>
      <c r="F209" s="12"/>
      <c r="G209" s="12"/>
      <c r="H209" s="12"/>
      <c r="I209" s="12"/>
      <c r="J209" s="39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3"/>
    </row>
    <row r="210" spans="1:21" ht="12.75">
      <c r="A210" s="2">
        <v>40933</v>
      </c>
      <c r="B210" s="7" t="s">
        <v>168</v>
      </c>
      <c r="C210" s="23"/>
      <c r="D210" s="16"/>
      <c r="E210" s="12">
        <f>52.25+15.15</f>
        <v>67.4</v>
      </c>
      <c r="F210" s="12"/>
      <c r="G210" s="12"/>
      <c r="H210" s="12"/>
      <c r="I210" s="12"/>
      <c r="J210" s="39"/>
      <c r="K210" s="12"/>
      <c r="L210" s="12"/>
      <c r="M210" s="12"/>
      <c r="N210" s="12"/>
      <c r="O210" s="12"/>
      <c r="P210" s="12"/>
      <c r="Q210" s="12"/>
      <c r="R210" s="12"/>
      <c r="S210" s="12"/>
      <c r="T210" s="12">
        <v>2</v>
      </c>
      <c r="U210" s="13" t="s">
        <v>216</v>
      </c>
    </row>
    <row r="211" spans="1:21" ht="12.75">
      <c r="A211" s="2">
        <v>40934</v>
      </c>
      <c r="B211" s="7" t="s">
        <v>168</v>
      </c>
      <c r="C211" s="23"/>
      <c r="D211" s="16"/>
      <c r="E211" s="12">
        <v>19.25</v>
      </c>
      <c r="F211" s="12"/>
      <c r="G211" s="12"/>
      <c r="H211" s="12"/>
      <c r="I211" s="12"/>
      <c r="J211" s="39"/>
      <c r="K211" s="12">
        <v>44.26</v>
      </c>
      <c r="L211" s="12"/>
      <c r="M211" s="12"/>
      <c r="N211" s="12"/>
      <c r="O211" s="12"/>
      <c r="P211" s="12"/>
      <c r="Q211" s="12"/>
      <c r="R211" s="12"/>
      <c r="S211" s="12"/>
      <c r="T211" s="12"/>
      <c r="U211" s="13"/>
    </row>
    <row r="212" spans="1:21" ht="12.75">
      <c r="A212" s="2">
        <v>40935</v>
      </c>
      <c r="B212" s="7" t="s">
        <v>168</v>
      </c>
      <c r="C212" s="23"/>
      <c r="D212" s="16"/>
      <c r="E212" s="12">
        <v>10</v>
      </c>
      <c r="F212" s="12"/>
      <c r="G212" s="12">
        <v>19.32</v>
      </c>
      <c r="H212" s="12"/>
      <c r="I212" s="12"/>
      <c r="J212" s="39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3"/>
    </row>
    <row r="213" spans="1:21" ht="12.75">
      <c r="A213" s="2">
        <v>40936</v>
      </c>
      <c r="B213" s="7" t="s">
        <v>168</v>
      </c>
      <c r="C213" s="23"/>
      <c r="D213" s="16"/>
      <c r="E213" s="12"/>
      <c r="F213" s="12"/>
      <c r="G213" s="12"/>
      <c r="H213" s="12"/>
      <c r="I213" s="12"/>
      <c r="J213" s="39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3"/>
    </row>
    <row r="214" spans="1:21" ht="12.75">
      <c r="A214" s="2">
        <v>40937</v>
      </c>
      <c r="B214" s="7" t="s">
        <v>169</v>
      </c>
      <c r="C214" s="23">
        <v>13.2</v>
      </c>
      <c r="D214" s="16">
        <v>848.3</v>
      </c>
      <c r="E214" s="12"/>
      <c r="F214" s="12"/>
      <c r="G214" s="12"/>
      <c r="H214" s="12"/>
      <c r="I214" s="12"/>
      <c r="J214" s="39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3"/>
    </row>
    <row r="215" spans="1:21" ht="12.75">
      <c r="A215" s="2">
        <v>40938</v>
      </c>
      <c r="B215" s="7" t="s">
        <v>170</v>
      </c>
      <c r="C215" s="23">
        <v>11.2</v>
      </c>
      <c r="D215" s="16">
        <v>850.7</v>
      </c>
      <c r="E215" s="12"/>
      <c r="F215" s="12"/>
      <c r="G215" s="12"/>
      <c r="H215" s="12"/>
      <c r="I215" s="12"/>
      <c r="J215" s="39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3"/>
    </row>
    <row r="216" spans="1:21" ht="13.5" thickBot="1">
      <c r="A216" s="2">
        <v>40939</v>
      </c>
      <c r="B216" s="7" t="s">
        <v>171</v>
      </c>
      <c r="C216" s="23"/>
      <c r="D216" s="16"/>
      <c r="E216" s="12"/>
      <c r="F216" s="12"/>
      <c r="G216" s="12"/>
      <c r="H216" s="12"/>
      <c r="I216" s="12"/>
      <c r="J216" s="39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3"/>
    </row>
    <row r="217" spans="1:21" ht="13.5" thickBot="1">
      <c r="A217" s="4" t="s">
        <v>143</v>
      </c>
      <c r="B217" s="20"/>
      <c r="C217" s="27">
        <f>SUM(C186:C216)</f>
        <v>104.2</v>
      </c>
      <c r="D217" s="27">
        <f>D215-D179</f>
        <v>34.10000000000002</v>
      </c>
      <c r="E217" s="31">
        <f aca="true" t="shared" si="10" ref="E217:T217">SUM(E186:E216)</f>
        <v>236.26000000000002</v>
      </c>
      <c r="F217" s="31">
        <f t="shared" si="10"/>
        <v>0</v>
      </c>
      <c r="G217" s="31">
        <f t="shared" si="10"/>
        <v>190.24</v>
      </c>
      <c r="H217" s="31">
        <f t="shared" si="10"/>
        <v>39</v>
      </c>
      <c r="I217" s="31">
        <f t="shared" si="10"/>
        <v>0</v>
      </c>
      <c r="J217" s="40">
        <f t="shared" si="10"/>
        <v>0</v>
      </c>
      <c r="K217" s="31">
        <f t="shared" si="10"/>
        <v>44.26</v>
      </c>
      <c r="L217" s="31">
        <f t="shared" si="10"/>
        <v>0</v>
      </c>
      <c r="M217" s="31">
        <f t="shared" si="10"/>
        <v>0</v>
      </c>
      <c r="N217" s="31">
        <f t="shared" si="10"/>
        <v>0</v>
      </c>
      <c r="O217" s="31">
        <f t="shared" si="10"/>
        <v>0</v>
      </c>
      <c r="P217" s="31">
        <f t="shared" si="10"/>
        <v>0</v>
      </c>
      <c r="Q217" s="31">
        <f t="shared" si="10"/>
        <v>0</v>
      </c>
      <c r="R217" s="31">
        <f>SUM(R186:R216)</f>
        <v>14</v>
      </c>
      <c r="S217" s="31">
        <f>SUM(S186:S216)</f>
        <v>7</v>
      </c>
      <c r="T217" s="31">
        <f t="shared" si="10"/>
        <v>3.5</v>
      </c>
      <c r="U217" s="30">
        <f>SUM(E217:T217)-J217</f>
        <v>534.26</v>
      </c>
    </row>
    <row r="218" spans="1:21" ht="13.5" thickBot="1">
      <c r="A218" s="4" t="s">
        <v>144</v>
      </c>
      <c r="B218" s="20"/>
      <c r="C218" s="27">
        <f>C217+C182</f>
        <v>2073.7293539499997</v>
      </c>
      <c r="D218" s="27">
        <f>D217+D182</f>
        <v>502.60000000000014</v>
      </c>
      <c r="E218" s="31">
        <f>E217+E182</f>
        <v>2892.7700000000004</v>
      </c>
      <c r="F218" s="31">
        <f aca="true" t="shared" si="11" ref="F218:T218">F217+F182</f>
        <v>217.01</v>
      </c>
      <c r="G218" s="31">
        <f t="shared" si="11"/>
        <v>1074.33</v>
      </c>
      <c r="H218" s="31">
        <f t="shared" si="11"/>
        <v>1045.7800000000002</v>
      </c>
      <c r="I218" s="31">
        <f t="shared" si="11"/>
        <v>802.06</v>
      </c>
      <c r="J218" s="40">
        <f t="shared" si="11"/>
        <v>181.37</v>
      </c>
      <c r="K218" s="31">
        <f t="shared" si="11"/>
        <v>73.09</v>
      </c>
      <c r="L218" s="31">
        <f t="shared" si="11"/>
        <v>45</v>
      </c>
      <c r="M218" s="31">
        <f t="shared" si="11"/>
        <v>1213.29</v>
      </c>
      <c r="N218" s="31">
        <f t="shared" si="11"/>
        <v>252.92000000000002</v>
      </c>
      <c r="O218" s="31">
        <f t="shared" si="11"/>
        <v>0</v>
      </c>
      <c r="P218" s="31">
        <f t="shared" si="11"/>
        <v>3961.67</v>
      </c>
      <c r="Q218" s="31">
        <f t="shared" si="11"/>
        <v>200</v>
      </c>
      <c r="R218" s="31">
        <f>R217+R182</f>
        <v>197</v>
      </c>
      <c r="S218" s="31">
        <f>S217+S182</f>
        <v>40.89</v>
      </c>
      <c r="T218" s="31">
        <f t="shared" si="11"/>
        <v>2111.13</v>
      </c>
      <c r="U218" s="30">
        <f>SUM(E218:T218)-J218</f>
        <v>14126.94</v>
      </c>
    </row>
    <row r="219" ht="13.5" thickBot="1">
      <c r="A219" s="2"/>
    </row>
    <row r="220" ht="13.5" thickBot="1">
      <c r="A220" s="3" t="s">
        <v>15</v>
      </c>
    </row>
    <row r="221" ht="12.75">
      <c r="A221" s="2"/>
    </row>
    <row r="222" spans="1:21" ht="12.75">
      <c r="A222" s="2">
        <v>40940</v>
      </c>
      <c r="B222" s="7" t="s">
        <v>172</v>
      </c>
      <c r="C222" s="23">
        <v>22.5</v>
      </c>
      <c r="D222" s="16">
        <v>855.6</v>
      </c>
      <c r="E222" s="12"/>
      <c r="F222" s="12"/>
      <c r="G222" s="12"/>
      <c r="H222" s="12"/>
      <c r="I222" s="12"/>
      <c r="J222" s="39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3"/>
    </row>
    <row r="223" spans="1:21" ht="12.75">
      <c r="A223" s="2">
        <v>40941</v>
      </c>
      <c r="B223" s="7" t="s">
        <v>174</v>
      </c>
      <c r="C223" s="23"/>
      <c r="D223" s="16"/>
      <c r="E223" s="12"/>
      <c r="F223" s="12"/>
      <c r="G223" s="12"/>
      <c r="H223" s="12"/>
      <c r="I223" s="12"/>
      <c r="J223" s="39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3"/>
    </row>
    <row r="224" spans="1:21" ht="12.75">
      <c r="A224" s="2">
        <v>40942</v>
      </c>
      <c r="B224" s="7" t="s">
        <v>174</v>
      </c>
      <c r="C224" s="23"/>
      <c r="D224" s="16"/>
      <c r="E224" s="12"/>
      <c r="F224" s="12"/>
      <c r="G224" s="12"/>
      <c r="H224" s="12"/>
      <c r="I224" s="12"/>
      <c r="J224" s="39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3"/>
    </row>
    <row r="225" spans="1:21" ht="12.75">
      <c r="A225" s="2">
        <v>40943</v>
      </c>
      <c r="B225" s="7" t="s">
        <v>173</v>
      </c>
      <c r="C225" s="23">
        <v>8.4</v>
      </c>
      <c r="D225" s="16">
        <v>858</v>
      </c>
      <c r="E225" s="12">
        <f>65.78-H225</f>
        <v>29.53</v>
      </c>
      <c r="F225" s="12"/>
      <c r="G225" s="12"/>
      <c r="H225" s="12">
        <f>19.25+17</f>
        <v>36.25</v>
      </c>
      <c r="I225" s="12"/>
      <c r="J225" s="39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3"/>
    </row>
    <row r="226" spans="1:21" ht="12.75">
      <c r="A226" s="2">
        <v>40944</v>
      </c>
      <c r="B226" s="7" t="s">
        <v>175</v>
      </c>
      <c r="C226" s="23">
        <v>11.2</v>
      </c>
      <c r="D226" s="16">
        <v>862</v>
      </c>
      <c r="E226" s="12"/>
      <c r="F226" s="12"/>
      <c r="G226" s="12"/>
      <c r="H226" s="12"/>
      <c r="I226" s="12"/>
      <c r="J226" s="39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3"/>
    </row>
    <row r="227" spans="1:21" ht="12.75">
      <c r="A227" s="2">
        <v>40945</v>
      </c>
      <c r="B227" s="7" t="s">
        <v>176</v>
      </c>
      <c r="C227" s="23">
        <v>22.7</v>
      </c>
      <c r="D227" s="16">
        <v>866.7</v>
      </c>
      <c r="E227" s="12"/>
      <c r="F227" s="12"/>
      <c r="G227" s="12"/>
      <c r="H227" s="12"/>
      <c r="I227" s="12"/>
      <c r="J227" s="39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3"/>
    </row>
    <row r="228" spans="1:21" ht="12.75">
      <c r="A228" s="2">
        <v>40946</v>
      </c>
      <c r="B228" s="7" t="s">
        <v>177</v>
      </c>
      <c r="C228" s="23">
        <f>17.3+4.5+3.4</f>
        <v>25.2</v>
      </c>
      <c r="D228" s="16">
        <v>874.2</v>
      </c>
      <c r="E228" s="12"/>
      <c r="F228" s="12"/>
      <c r="G228" s="12"/>
      <c r="H228" s="12"/>
      <c r="I228" s="12"/>
      <c r="J228" s="39"/>
      <c r="K228" s="12"/>
      <c r="L228" s="12"/>
      <c r="M228" s="12"/>
      <c r="N228" s="12">
        <v>31.5</v>
      </c>
      <c r="O228" s="12"/>
      <c r="P228" s="12"/>
      <c r="Q228" s="12"/>
      <c r="R228" s="12"/>
      <c r="S228" s="12"/>
      <c r="T228" s="12"/>
      <c r="U228" s="13"/>
    </row>
    <row r="229" spans="1:21" ht="12.75">
      <c r="A229" s="2">
        <v>40947</v>
      </c>
      <c r="B229" s="7" t="s">
        <v>179</v>
      </c>
      <c r="C229" s="23"/>
      <c r="D229" s="16"/>
      <c r="E229" s="12"/>
      <c r="F229" s="12"/>
      <c r="G229" s="12"/>
      <c r="H229" s="12"/>
      <c r="I229" s="12"/>
      <c r="J229" s="39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3"/>
    </row>
    <row r="230" spans="1:21" ht="12.75">
      <c r="A230" s="2">
        <v>40948</v>
      </c>
      <c r="B230" s="7" t="s">
        <v>178</v>
      </c>
      <c r="C230" s="23">
        <f>8.3+3</f>
        <v>11.3</v>
      </c>
      <c r="D230" s="16">
        <v>877</v>
      </c>
      <c r="E230" s="12"/>
      <c r="F230" s="12"/>
      <c r="G230" s="12">
        <v>63</v>
      </c>
      <c r="H230" s="12"/>
      <c r="I230" s="12"/>
      <c r="J230" s="39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3"/>
    </row>
    <row r="231" spans="1:21" ht="12.75">
      <c r="A231" s="2">
        <v>40949</v>
      </c>
      <c r="B231" s="7" t="s">
        <v>180</v>
      </c>
      <c r="C231" s="23">
        <v>34.1</v>
      </c>
      <c r="D231" s="16">
        <v>884.4</v>
      </c>
      <c r="E231" s="12"/>
      <c r="F231" s="12"/>
      <c r="G231" s="12">
        <v>80</v>
      </c>
      <c r="H231" s="12">
        <v>31.9</v>
      </c>
      <c r="I231" s="12"/>
      <c r="J231" s="39"/>
      <c r="K231" s="12"/>
      <c r="L231" s="12"/>
      <c r="M231" s="12"/>
      <c r="N231" s="12"/>
      <c r="O231" s="12"/>
      <c r="P231" s="12"/>
      <c r="Q231" s="12"/>
      <c r="R231" s="12"/>
      <c r="S231" s="12"/>
      <c r="T231" s="12">
        <v>27.95</v>
      </c>
      <c r="U231" s="13" t="s">
        <v>217</v>
      </c>
    </row>
    <row r="232" spans="1:21" ht="12.75">
      <c r="A232" s="2">
        <v>40950</v>
      </c>
      <c r="B232" s="7" t="s">
        <v>181</v>
      </c>
      <c r="C232" s="23"/>
      <c r="D232" s="16"/>
      <c r="E232" s="12">
        <v>31.71</v>
      </c>
      <c r="F232" s="12"/>
      <c r="G232" s="12"/>
      <c r="H232" s="12">
        <v>58.4</v>
      </c>
      <c r="I232" s="12"/>
      <c r="J232" s="39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3"/>
    </row>
    <row r="233" spans="1:21" ht="12.75">
      <c r="A233" s="2">
        <v>40951</v>
      </c>
      <c r="B233" s="7" t="s">
        <v>181</v>
      </c>
      <c r="C233" s="23"/>
      <c r="D233" s="16"/>
      <c r="E233" s="12">
        <f>59.17+26.4</f>
        <v>85.57</v>
      </c>
      <c r="F233" s="12"/>
      <c r="G233" s="12">
        <v>11.75</v>
      </c>
      <c r="H233" s="12"/>
      <c r="I233" s="12"/>
      <c r="J233" s="39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3"/>
    </row>
    <row r="234" spans="1:21" ht="12.75">
      <c r="A234" s="2">
        <v>40952</v>
      </c>
      <c r="B234" s="7" t="s">
        <v>181</v>
      </c>
      <c r="C234" s="23"/>
      <c r="D234" s="16"/>
      <c r="E234" s="12"/>
      <c r="F234" s="12"/>
      <c r="G234" s="12"/>
      <c r="H234" s="12"/>
      <c r="I234" s="12"/>
      <c r="J234" s="39"/>
      <c r="K234" s="12"/>
      <c r="L234" s="12"/>
      <c r="M234" s="12"/>
      <c r="N234" s="12"/>
      <c r="O234" s="12"/>
      <c r="P234" s="12"/>
      <c r="Q234" s="12"/>
      <c r="R234" s="12"/>
      <c r="S234" s="12"/>
      <c r="T234" s="12">
        <v>22.99</v>
      </c>
      <c r="U234" s="13" t="s">
        <v>218</v>
      </c>
    </row>
    <row r="235" spans="1:21" ht="12.75">
      <c r="A235" s="2">
        <v>40953</v>
      </c>
      <c r="B235" s="7" t="s">
        <v>181</v>
      </c>
      <c r="C235" s="23"/>
      <c r="D235" s="16"/>
      <c r="E235" s="12">
        <v>80.47</v>
      </c>
      <c r="F235" s="12"/>
      <c r="G235" s="12">
        <v>14</v>
      </c>
      <c r="H235" s="12">
        <f>208.45+182.35</f>
        <v>390.79999999999995</v>
      </c>
      <c r="I235" s="12">
        <f>56.18+58</f>
        <v>114.18</v>
      </c>
      <c r="J235" s="39">
        <f>I235/5.18</f>
        <v>22.042471042471046</v>
      </c>
      <c r="K235" s="12">
        <f>15.9+12.97</f>
        <v>28.87</v>
      </c>
      <c r="L235" s="12"/>
      <c r="M235" s="12">
        <v>362</v>
      </c>
      <c r="N235" s="12"/>
      <c r="O235" s="12"/>
      <c r="P235" s="12"/>
      <c r="Q235" s="12"/>
      <c r="R235" s="12"/>
      <c r="S235" s="12"/>
      <c r="T235" s="12">
        <v>22</v>
      </c>
      <c r="U235" s="13" t="s">
        <v>219</v>
      </c>
    </row>
    <row r="236" spans="1:21" ht="12.75">
      <c r="A236" s="2">
        <v>40954</v>
      </c>
      <c r="B236" s="7" t="s">
        <v>182</v>
      </c>
      <c r="C236" s="23">
        <v>41.1</v>
      </c>
      <c r="D236" s="16">
        <v>892.5</v>
      </c>
      <c r="E236" s="12"/>
      <c r="F236" s="12"/>
      <c r="G236" s="12"/>
      <c r="H236" s="12"/>
      <c r="I236" s="12"/>
      <c r="J236" s="39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3"/>
    </row>
    <row r="237" spans="1:21" ht="12.75">
      <c r="A237" s="2">
        <v>40955</v>
      </c>
      <c r="B237" s="7" t="s">
        <v>183</v>
      </c>
      <c r="C237" s="23">
        <v>36.3</v>
      </c>
      <c r="D237" s="16">
        <v>899.4</v>
      </c>
      <c r="E237" s="12"/>
      <c r="F237" s="12"/>
      <c r="G237" s="12"/>
      <c r="H237" s="12"/>
      <c r="I237" s="12"/>
      <c r="J237" s="39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3"/>
    </row>
    <row r="238" spans="1:21" ht="12.75">
      <c r="A238" s="2">
        <v>40956</v>
      </c>
      <c r="B238" s="7" t="s">
        <v>184</v>
      </c>
      <c r="C238" s="23">
        <v>8.9</v>
      </c>
      <c r="D238" s="16">
        <v>901.7</v>
      </c>
      <c r="E238" s="12"/>
      <c r="F238" s="12"/>
      <c r="G238" s="12">
        <v>36</v>
      </c>
      <c r="H238" s="12"/>
      <c r="I238" s="12"/>
      <c r="J238" s="39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3"/>
    </row>
    <row r="239" spans="1:21" ht="12.75">
      <c r="A239" s="2">
        <v>40957</v>
      </c>
      <c r="B239" s="7" t="s">
        <v>185</v>
      </c>
      <c r="C239" s="23">
        <v>9.8</v>
      </c>
      <c r="D239" s="16">
        <v>904</v>
      </c>
      <c r="E239" s="12"/>
      <c r="F239" s="12"/>
      <c r="G239" s="12"/>
      <c r="H239" s="12"/>
      <c r="I239" s="12"/>
      <c r="J239" s="39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3"/>
    </row>
    <row r="240" spans="1:21" ht="12.75">
      <c r="A240" s="2">
        <v>40958</v>
      </c>
      <c r="B240" s="7" t="s">
        <v>186</v>
      </c>
      <c r="C240" s="23">
        <v>19.8</v>
      </c>
      <c r="D240" s="16">
        <v>909.1</v>
      </c>
      <c r="E240" s="12"/>
      <c r="F240" s="12"/>
      <c r="G240" s="12"/>
      <c r="H240" s="12"/>
      <c r="I240" s="12"/>
      <c r="J240" s="39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3"/>
    </row>
    <row r="241" spans="1:21" ht="12.75">
      <c r="A241" s="2">
        <v>40959</v>
      </c>
      <c r="B241" s="7" t="s">
        <v>187</v>
      </c>
      <c r="C241" s="23">
        <v>25.5</v>
      </c>
      <c r="D241" s="16">
        <f>C241/(C241+C246+C248)*(D248-D240)+D240</f>
        <v>915.2896333754741</v>
      </c>
      <c r="E241" s="12"/>
      <c r="F241" s="12"/>
      <c r="G241" s="12">
        <f>184/3</f>
        <v>61.333333333333336</v>
      </c>
      <c r="H241" s="12"/>
      <c r="I241" s="12"/>
      <c r="J241" s="39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3"/>
    </row>
    <row r="242" spans="1:21" ht="12.75">
      <c r="A242" s="2">
        <v>40960</v>
      </c>
      <c r="B242" s="7" t="s">
        <v>188</v>
      </c>
      <c r="C242" s="23"/>
      <c r="D242" s="16"/>
      <c r="E242" s="12">
        <v>26.96</v>
      </c>
      <c r="F242" s="12"/>
      <c r="G242" s="12">
        <v>31</v>
      </c>
      <c r="H242" s="12"/>
      <c r="I242" s="12"/>
      <c r="J242" s="39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3"/>
    </row>
    <row r="243" spans="1:21" ht="12.75">
      <c r="A243" s="2">
        <v>40961</v>
      </c>
      <c r="B243" s="7" t="s">
        <v>188</v>
      </c>
      <c r="C243" s="23"/>
      <c r="D243" s="16"/>
      <c r="E243" s="12"/>
      <c r="F243" s="12"/>
      <c r="G243" s="12"/>
      <c r="H243" s="12"/>
      <c r="I243" s="12"/>
      <c r="J243" s="39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3"/>
    </row>
    <row r="244" spans="1:21" ht="12.75">
      <c r="A244" s="2">
        <v>40962</v>
      </c>
      <c r="B244" s="7" t="s">
        <v>188</v>
      </c>
      <c r="C244" s="23"/>
      <c r="D244" s="16"/>
      <c r="E244" s="12">
        <v>55</v>
      </c>
      <c r="F244" s="12"/>
      <c r="G244" s="12"/>
      <c r="H244" s="12"/>
      <c r="I244" s="12"/>
      <c r="J244" s="39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3"/>
    </row>
    <row r="245" spans="1:21" ht="12.75">
      <c r="A245" s="2">
        <v>40963</v>
      </c>
      <c r="B245" s="7" t="s">
        <v>188</v>
      </c>
      <c r="C245" s="23"/>
      <c r="D245" s="16"/>
      <c r="E245" s="12">
        <v>26</v>
      </c>
      <c r="F245" s="12"/>
      <c r="G245" s="12"/>
      <c r="H245" s="12">
        <v>15.65</v>
      </c>
      <c r="I245" s="12">
        <v>63</v>
      </c>
      <c r="J245" s="39">
        <f>I245/5.25</f>
        <v>12</v>
      </c>
      <c r="K245" s="12"/>
      <c r="L245" s="12"/>
      <c r="M245" s="12"/>
      <c r="N245" s="12"/>
      <c r="O245" s="12"/>
      <c r="P245" s="12"/>
      <c r="Q245" s="12"/>
      <c r="R245" s="12"/>
      <c r="S245" s="12"/>
      <c r="T245" s="12">
        <v>8</v>
      </c>
      <c r="U245" s="13" t="s">
        <v>220</v>
      </c>
    </row>
    <row r="246" spans="1:21" ht="12.75">
      <c r="A246" s="2">
        <v>40964</v>
      </c>
      <c r="B246" s="7" t="s">
        <v>189</v>
      </c>
      <c r="C246" s="23">
        <v>28.6</v>
      </c>
      <c r="D246" s="16">
        <f>C246/(C246+C248)*(D248-D241)+D241</f>
        <v>922.2317319848293</v>
      </c>
      <c r="E246" s="12"/>
      <c r="F246" s="12"/>
      <c r="G246" s="12"/>
      <c r="H246" s="12"/>
      <c r="I246" s="12"/>
      <c r="J246" s="39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3"/>
    </row>
    <row r="247" spans="1:21" ht="12.75">
      <c r="A247" s="2">
        <v>40965</v>
      </c>
      <c r="B247" s="7" t="s">
        <v>190</v>
      </c>
      <c r="C247" s="23"/>
      <c r="D247" s="16"/>
      <c r="E247" s="12"/>
      <c r="F247" s="12"/>
      <c r="G247" s="12"/>
      <c r="H247" s="12"/>
      <c r="I247" s="12"/>
      <c r="J247" s="39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3"/>
    </row>
    <row r="248" spans="1:21" ht="12.75">
      <c r="A248" s="2">
        <v>40966</v>
      </c>
      <c r="B248" s="7" t="s">
        <v>192</v>
      </c>
      <c r="C248" s="23">
        <v>25</v>
      </c>
      <c r="D248" s="16">
        <v>928.3</v>
      </c>
      <c r="E248" s="12"/>
      <c r="F248" s="12"/>
      <c r="G248" s="12"/>
      <c r="H248" s="12"/>
      <c r="I248" s="12"/>
      <c r="J248" s="39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3"/>
    </row>
    <row r="249" spans="1:21" ht="12.75">
      <c r="A249" s="2">
        <v>40967</v>
      </c>
      <c r="B249" s="7" t="s">
        <v>191</v>
      </c>
      <c r="C249" s="23"/>
      <c r="D249" s="16"/>
      <c r="E249" s="12"/>
      <c r="F249" s="12"/>
      <c r="G249" s="12">
        <v>57.5</v>
      </c>
      <c r="H249" s="12"/>
      <c r="I249" s="12"/>
      <c r="J249" s="39"/>
      <c r="K249" s="12"/>
      <c r="L249" s="12"/>
      <c r="M249" s="12"/>
      <c r="N249" s="12"/>
      <c r="O249" s="12"/>
      <c r="P249" s="12"/>
      <c r="Q249" s="12"/>
      <c r="R249" s="12"/>
      <c r="S249" s="12"/>
      <c r="T249" s="12">
        <f>1.69+25</f>
        <v>26.69</v>
      </c>
      <c r="U249" s="13"/>
    </row>
    <row r="250" spans="1:21" ht="13.5" thickBot="1">
      <c r="A250" s="2">
        <v>40968</v>
      </c>
      <c r="B250" s="7" t="s">
        <v>191</v>
      </c>
      <c r="C250" s="23"/>
      <c r="D250" s="16"/>
      <c r="E250" s="12"/>
      <c r="F250" s="12"/>
      <c r="G250" s="12">
        <v>44</v>
      </c>
      <c r="H250" s="12"/>
      <c r="I250" s="12"/>
      <c r="J250" s="39"/>
      <c r="K250" s="12"/>
      <c r="L250" s="12"/>
      <c r="M250" s="12"/>
      <c r="N250" s="12"/>
      <c r="O250" s="12"/>
      <c r="P250" s="12"/>
      <c r="Q250" s="12">
        <v>20</v>
      </c>
      <c r="R250" s="12"/>
      <c r="S250" s="12"/>
      <c r="T250" s="12"/>
      <c r="U250" s="13" t="s">
        <v>221</v>
      </c>
    </row>
    <row r="251" spans="1:21" ht="13.5" thickBot="1">
      <c r="A251" s="4" t="s">
        <v>143</v>
      </c>
      <c r="B251" s="20"/>
      <c r="C251" s="27">
        <f>SUM(C220:C250)</f>
        <v>330.4000000000001</v>
      </c>
      <c r="D251" s="27">
        <f>D248-D215</f>
        <v>77.59999999999991</v>
      </c>
      <c r="E251" s="31">
        <f aca="true" t="shared" si="12" ref="E251:T251">SUM(E220:E250)</f>
        <v>335.24</v>
      </c>
      <c r="F251" s="31">
        <f t="shared" si="12"/>
        <v>0</v>
      </c>
      <c r="G251" s="31">
        <f t="shared" si="12"/>
        <v>398.5833333333333</v>
      </c>
      <c r="H251" s="31">
        <f t="shared" si="12"/>
        <v>532.9999999999999</v>
      </c>
      <c r="I251" s="31">
        <f t="shared" si="12"/>
        <v>177.18</v>
      </c>
      <c r="J251" s="40">
        <f t="shared" si="12"/>
        <v>34.04247104247105</v>
      </c>
      <c r="K251" s="31">
        <f t="shared" si="12"/>
        <v>28.87</v>
      </c>
      <c r="L251" s="31">
        <f t="shared" si="12"/>
        <v>0</v>
      </c>
      <c r="M251" s="31">
        <f t="shared" si="12"/>
        <v>362</v>
      </c>
      <c r="N251" s="31">
        <f t="shared" si="12"/>
        <v>31.5</v>
      </c>
      <c r="O251" s="31">
        <f t="shared" si="12"/>
        <v>0</v>
      </c>
      <c r="P251" s="31">
        <f t="shared" si="12"/>
        <v>0</v>
      </c>
      <c r="Q251" s="31">
        <f t="shared" si="12"/>
        <v>20</v>
      </c>
      <c r="R251" s="31">
        <f>SUM(R220:R250)</f>
        <v>0</v>
      </c>
      <c r="S251" s="31">
        <f>SUM(S220:S250)</f>
        <v>0</v>
      </c>
      <c r="T251" s="31">
        <f t="shared" si="12"/>
        <v>107.63</v>
      </c>
      <c r="U251" s="30">
        <f>SUM(E251:T251)-J251</f>
        <v>1994.0033333333333</v>
      </c>
    </row>
    <row r="252" spans="1:21" ht="13.5" thickBot="1">
      <c r="A252" s="4" t="s">
        <v>144</v>
      </c>
      <c r="B252" s="20"/>
      <c r="C252" s="27">
        <f>C251+C218</f>
        <v>2404.1293539499998</v>
      </c>
      <c r="D252" s="27">
        <f>D251+D218</f>
        <v>580.2</v>
      </c>
      <c r="E252" s="31">
        <f>E251+E218</f>
        <v>3228.01</v>
      </c>
      <c r="F252" s="31">
        <f aca="true" t="shared" si="13" ref="F252:T252">F251+F218</f>
        <v>217.01</v>
      </c>
      <c r="G252" s="31">
        <f t="shared" si="13"/>
        <v>1472.9133333333332</v>
      </c>
      <c r="H252" s="31">
        <f t="shared" si="13"/>
        <v>1578.7800000000002</v>
      </c>
      <c r="I252" s="31">
        <f t="shared" si="13"/>
        <v>979.24</v>
      </c>
      <c r="J252" s="40">
        <f t="shared" si="13"/>
        <v>215.41247104247105</v>
      </c>
      <c r="K252" s="31">
        <f t="shared" si="13"/>
        <v>101.96000000000001</v>
      </c>
      <c r="L252" s="31">
        <f t="shared" si="13"/>
        <v>45</v>
      </c>
      <c r="M252" s="31">
        <f t="shared" si="13"/>
        <v>1575.29</v>
      </c>
      <c r="N252" s="31">
        <f t="shared" si="13"/>
        <v>284.42</v>
      </c>
      <c r="O252" s="31">
        <f t="shared" si="13"/>
        <v>0</v>
      </c>
      <c r="P252" s="31">
        <f t="shared" si="13"/>
        <v>3961.67</v>
      </c>
      <c r="Q252" s="31">
        <f t="shared" si="13"/>
        <v>220</v>
      </c>
      <c r="R252" s="31">
        <f>R251+R218</f>
        <v>197</v>
      </c>
      <c r="S252" s="31">
        <f>S251+S218</f>
        <v>40.89</v>
      </c>
      <c r="T252" s="31">
        <f t="shared" si="13"/>
        <v>2218.76</v>
      </c>
      <c r="U252" s="30">
        <f>SUM(E252:T252)-J252</f>
        <v>16120.943333333333</v>
      </c>
    </row>
    <row r="253" ht="13.5" thickBot="1">
      <c r="A253" s="2"/>
    </row>
    <row r="254" ht="13.5" thickBot="1">
      <c r="A254" s="3" t="s">
        <v>16</v>
      </c>
    </row>
    <row r="255" ht="12.75">
      <c r="A255" s="2"/>
    </row>
    <row r="256" spans="1:21" ht="12.75">
      <c r="A256" s="2">
        <v>40969</v>
      </c>
      <c r="B256" s="7" t="s">
        <v>193</v>
      </c>
      <c r="C256" s="23">
        <v>26</v>
      </c>
      <c r="D256" s="16">
        <v>934.8</v>
      </c>
      <c r="E256" s="12"/>
      <c r="F256" s="12"/>
      <c r="G256" s="12"/>
      <c r="H256" s="12"/>
      <c r="I256" s="12"/>
      <c r="J256" s="39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3"/>
    </row>
    <row r="257" spans="1:21" ht="12.75">
      <c r="A257" s="2">
        <v>40970</v>
      </c>
      <c r="B257" s="7" t="s">
        <v>194</v>
      </c>
      <c r="C257" s="23">
        <v>43.5</v>
      </c>
      <c r="D257" s="16">
        <f>C257/(C257+C258)*(D258-D256)+D256</f>
        <v>942.2176300578035</v>
      </c>
      <c r="E257" s="12"/>
      <c r="F257" s="12"/>
      <c r="G257" s="12"/>
      <c r="H257" s="12"/>
      <c r="I257" s="12"/>
      <c r="J257" s="39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3"/>
    </row>
    <row r="258" spans="1:21" ht="12.75">
      <c r="A258" s="2">
        <v>40971</v>
      </c>
      <c r="B258" s="7" t="s">
        <v>195</v>
      </c>
      <c r="C258" s="23">
        <v>60.3</v>
      </c>
      <c r="D258" s="16">
        <v>952.5</v>
      </c>
      <c r="E258" s="12"/>
      <c r="F258" s="12"/>
      <c r="G258" s="12"/>
      <c r="H258" s="12"/>
      <c r="I258" s="12"/>
      <c r="J258" s="39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3"/>
    </row>
    <row r="259" spans="1:21" ht="12.75">
      <c r="A259" s="2">
        <v>40972</v>
      </c>
      <c r="B259" s="7" t="s">
        <v>167</v>
      </c>
      <c r="C259" s="23"/>
      <c r="D259" s="16"/>
      <c r="E259" s="12"/>
      <c r="F259" s="12"/>
      <c r="G259" s="12"/>
      <c r="H259" s="12"/>
      <c r="I259" s="12"/>
      <c r="J259" s="39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3"/>
    </row>
    <row r="260" spans="1:21" ht="12.75">
      <c r="A260" s="2">
        <v>40973</v>
      </c>
      <c r="B260" s="7" t="s">
        <v>167</v>
      </c>
      <c r="C260" s="23"/>
      <c r="D260" s="16"/>
      <c r="E260" s="12"/>
      <c r="F260" s="12"/>
      <c r="G260" s="12"/>
      <c r="H260" s="12"/>
      <c r="I260" s="12"/>
      <c r="J260" s="39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3"/>
    </row>
    <row r="261" spans="1:21" ht="12.75">
      <c r="A261" s="2">
        <v>40974</v>
      </c>
      <c r="B261" s="7" t="s">
        <v>167</v>
      </c>
      <c r="C261" s="23"/>
      <c r="D261" s="16"/>
      <c r="E261" s="12"/>
      <c r="F261" s="12"/>
      <c r="G261" s="12"/>
      <c r="H261" s="12"/>
      <c r="I261" s="12"/>
      <c r="J261" s="39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3"/>
    </row>
    <row r="262" spans="1:21" ht="12.75">
      <c r="A262" s="2">
        <v>40975</v>
      </c>
      <c r="B262" s="7" t="s">
        <v>167</v>
      </c>
      <c r="C262" s="23"/>
      <c r="D262" s="16"/>
      <c r="E262" s="12"/>
      <c r="F262" s="12"/>
      <c r="G262" s="12"/>
      <c r="H262" s="12"/>
      <c r="I262" s="12"/>
      <c r="J262" s="39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3"/>
    </row>
    <row r="263" spans="1:21" ht="12.75">
      <c r="A263" s="2">
        <v>40976</v>
      </c>
      <c r="B263" s="7" t="s">
        <v>167</v>
      </c>
      <c r="C263" s="23"/>
      <c r="D263" s="16"/>
      <c r="E263" s="12"/>
      <c r="F263" s="12"/>
      <c r="G263" s="12"/>
      <c r="H263" s="12"/>
      <c r="I263" s="12"/>
      <c r="J263" s="39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3"/>
    </row>
    <row r="264" spans="1:21" ht="12.75">
      <c r="A264" s="2">
        <v>40977</v>
      </c>
      <c r="B264" s="7" t="s">
        <v>167</v>
      </c>
      <c r="C264" s="23"/>
      <c r="D264" s="16"/>
      <c r="E264" s="12">
        <f>5.5</f>
        <v>5.5</v>
      </c>
      <c r="F264" s="12"/>
      <c r="G264" s="12">
        <v>42</v>
      </c>
      <c r="H264" s="12"/>
      <c r="I264" s="12"/>
      <c r="J264" s="39"/>
      <c r="K264" s="12"/>
      <c r="L264" s="12"/>
      <c r="M264" s="12"/>
      <c r="N264" s="12"/>
      <c r="O264" s="12"/>
      <c r="P264" s="12"/>
      <c r="Q264" s="12"/>
      <c r="R264" s="12">
        <v>14</v>
      </c>
      <c r="S264" s="12"/>
      <c r="T264" s="12"/>
      <c r="U264" s="19" t="s">
        <v>261</v>
      </c>
    </row>
    <row r="265" spans="1:21" ht="12.75">
      <c r="A265" s="2">
        <v>40978</v>
      </c>
      <c r="B265" s="7" t="s">
        <v>166</v>
      </c>
      <c r="C265" s="23">
        <v>8.6</v>
      </c>
      <c r="D265" s="16">
        <v>957.4</v>
      </c>
      <c r="E265" s="12">
        <f>7+37.8</f>
        <v>44.8</v>
      </c>
      <c r="F265" s="12"/>
      <c r="G265" s="12"/>
      <c r="H265" s="12">
        <v>23</v>
      </c>
      <c r="I265" s="12"/>
      <c r="J265" s="39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3"/>
    </row>
    <row r="266" spans="1:21" ht="12.75">
      <c r="A266" s="2">
        <v>40979</v>
      </c>
      <c r="B266" s="7" t="s">
        <v>168</v>
      </c>
      <c r="C266" s="23"/>
      <c r="D266" s="16"/>
      <c r="E266" s="12"/>
      <c r="F266" s="12"/>
      <c r="G266" s="12"/>
      <c r="H266" s="12"/>
      <c r="I266" s="12"/>
      <c r="J266" s="39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3"/>
    </row>
    <row r="267" spans="1:21" ht="12.75">
      <c r="A267" s="2">
        <v>40980</v>
      </c>
      <c r="B267" s="7" t="s">
        <v>168</v>
      </c>
      <c r="C267" s="23"/>
      <c r="D267" s="16"/>
      <c r="E267" s="12">
        <f>3.5+37.7</f>
        <v>41.2</v>
      </c>
      <c r="F267" s="12"/>
      <c r="G267" s="12"/>
      <c r="H267" s="12"/>
      <c r="I267" s="12"/>
      <c r="J267" s="39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3"/>
    </row>
    <row r="268" spans="1:21" ht="12.75">
      <c r="A268" s="2">
        <v>40981</v>
      </c>
      <c r="B268" s="7" t="s">
        <v>196</v>
      </c>
      <c r="C268" s="23">
        <v>36.9</v>
      </c>
      <c r="D268" s="16">
        <v>963.6</v>
      </c>
      <c r="E268" s="12"/>
      <c r="F268" s="12"/>
      <c r="G268" s="12"/>
      <c r="H268" s="12"/>
      <c r="I268" s="12"/>
      <c r="J268" s="39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3"/>
    </row>
    <row r="269" spans="1:21" ht="12.75">
      <c r="A269" s="2">
        <v>40982</v>
      </c>
      <c r="B269" s="7" t="s">
        <v>173</v>
      </c>
      <c r="C269" s="23">
        <v>8.2</v>
      </c>
      <c r="D269" s="16">
        <v>965</v>
      </c>
      <c r="E269" s="12"/>
      <c r="F269" s="12"/>
      <c r="G269" s="12">
        <v>35</v>
      </c>
      <c r="H269" s="12"/>
      <c r="I269" s="12"/>
      <c r="J269" s="39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3"/>
    </row>
    <row r="270" spans="1:21" ht="12.75">
      <c r="A270" s="2">
        <v>40983</v>
      </c>
      <c r="B270" s="7" t="s">
        <v>197</v>
      </c>
      <c r="C270" s="23">
        <f>33.3+7.5</f>
        <v>40.8</v>
      </c>
      <c r="D270" s="16">
        <v>873.8</v>
      </c>
      <c r="E270" s="12"/>
      <c r="F270" s="12"/>
      <c r="G270" s="12"/>
      <c r="H270" s="12"/>
      <c r="I270" s="12"/>
      <c r="J270" s="39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3"/>
    </row>
    <row r="271" spans="1:21" ht="12.75">
      <c r="A271" s="2">
        <v>40984</v>
      </c>
      <c r="B271" s="7" t="s">
        <v>198</v>
      </c>
      <c r="C271" s="23"/>
      <c r="D271" s="16"/>
      <c r="E271" s="12">
        <v>96.49</v>
      </c>
      <c r="F271" s="12"/>
      <c r="G271" s="12">
        <v>17</v>
      </c>
      <c r="H271" s="12">
        <v>130.35</v>
      </c>
      <c r="I271" s="12"/>
      <c r="J271" s="39"/>
      <c r="K271" s="12"/>
      <c r="L271" s="12"/>
      <c r="M271" s="12">
        <v>59</v>
      </c>
      <c r="N271" s="12"/>
      <c r="O271" s="12"/>
      <c r="P271" s="12"/>
      <c r="Q271" s="12"/>
      <c r="R271" s="12"/>
      <c r="S271" s="12"/>
      <c r="T271" s="12"/>
      <c r="U271" s="13"/>
    </row>
    <row r="272" spans="1:21" ht="12.75">
      <c r="A272" s="2">
        <v>40985</v>
      </c>
      <c r="B272" s="7" t="s">
        <v>198</v>
      </c>
      <c r="C272" s="23"/>
      <c r="D272" s="16"/>
      <c r="E272" s="12">
        <f>92.28+32.83</f>
        <v>125.11</v>
      </c>
      <c r="F272" s="12"/>
      <c r="G272" s="12"/>
      <c r="H272" s="12">
        <f>174.26+138.7</f>
        <v>312.96</v>
      </c>
      <c r="I272" s="12"/>
      <c r="J272" s="39"/>
      <c r="K272" s="12"/>
      <c r="L272" s="12"/>
      <c r="M272" s="12"/>
      <c r="N272" s="12"/>
      <c r="O272" s="12"/>
      <c r="P272" s="12"/>
      <c r="Q272" s="12"/>
      <c r="R272" s="12"/>
      <c r="S272" s="12"/>
      <c r="T272" s="12">
        <v>5.99</v>
      </c>
      <c r="U272" s="13" t="s">
        <v>222</v>
      </c>
    </row>
    <row r="273" spans="1:21" ht="12.75">
      <c r="A273" s="2">
        <v>40986</v>
      </c>
      <c r="B273" s="7" t="s">
        <v>198</v>
      </c>
      <c r="C273" s="23"/>
      <c r="D273" s="16"/>
      <c r="E273" s="12"/>
      <c r="F273" s="12"/>
      <c r="G273" s="12"/>
      <c r="H273" s="12"/>
      <c r="I273" s="12">
        <v>57.02</v>
      </c>
      <c r="J273" s="39">
        <v>11</v>
      </c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3"/>
    </row>
    <row r="274" spans="1:21" ht="12.75">
      <c r="A274" s="2">
        <v>40987</v>
      </c>
      <c r="B274" s="7" t="s">
        <v>198</v>
      </c>
      <c r="C274" s="23"/>
      <c r="D274" s="16"/>
      <c r="E274" s="12">
        <f>20+30+81.66+31.97</f>
        <v>163.63</v>
      </c>
      <c r="F274" s="12">
        <v>13.37</v>
      </c>
      <c r="G274" s="12"/>
      <c r="H274" s="12">
        <v>107.2</v>
      </c>
      <c r="I274" s="12"/>
      <c r="J274" s="39"/>
      <c r="K274" s="12"/>
      <c r="L274" s="12"/>
      <c r="M274" s="12"/>
      <c r="N274" s="12"/>
      <c r="O274" s="12"/>
      <c r="P274" s="12">
        <v>38.25</v>
      </c>
      <c r="Q274" s="12"/>
      <c r="R274" s="12"/>
      <c r="S274" s="12"/>
      <c r="T274" s="12"/>
      <c r="U274" s="13"/>
    </row>
    <row r="275" spans="1:21" ht="12.75">
      <c r="A275" s="2">
        <v>40988</v>
      </c>
      <c r="B275" s="7" t="s">
        <v>201</v>
      </c>
      <c r="C275" s="23">
        <v>37</v>
      </c>
      <c r="D275" s="16">
        <v>983.2</v>
      </c>
      <c r="E275" s="12"/>
      <c r="F275" s="12"/>
      <c r="G275" s="12"/>
      <c r="H275" s="12"/>
      <c r="I275" s="12"/>
      <c r="J275" s="39"/>
      <c r="K275" s="12"/>
      <c r="L275" s="12"/>
      <c r="M275" s="12">
        <v>177</v>
      </c>
      <c r="N275" s="12"/>
      <c r="O275" s="12"/>
      <c r="P275" s="12"/>
      <c r="Q275" s="12"/>
      <c r="R275" s="12"/>
      <c r="S275" s="12"/>
      <c r="T275" s="12"/>
      <c r="U275" s="13"/>
    </row>
    <row r="276" spans="1:21" ht="12.75">
      <c r="A276" s="2">
        <v>40989</v>
      </c>
      <c r="B276" s="7" t="s">
        <v>202</v>
      </c>
      <c r="C276" s="23">
        <v>11.2</v>
      </c>
      <c r="D276" s="16">
        <v>983.6</v>
      </c>
      <c r="E276" s="12">
        <v>65</v>
      </c>
      <c r="F276" s="12"/>
      <c r="G276" s="12"/>
      <c r="H276" s="12"/>
      <c r="I276" s="12"/>
      <c r="J276" s="39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3"/>
    </row>
    <row r="277" spans="1:21" ht="12.75">
      <c r="A277" s="2">
        <v>40990</v>
      </c>
      <c r="B277" s="7" t="s">
        <v>203</v>
      </c>
      <c r="C277" s="23">
        <v>22.5</v>
      </c>
      <c r="D277" s="16">
        <f>C277/(C277+C278+C279)*(D279-D276)+D276</f>
        <v>987.771875</v>
      </c>
      <c r="E277" s="12"/>
      <c r="F277" s="12"/>
      <c r="G277" s="12"/>
      <c r="H277" s="12"/>
      <c r="I277" s="12"/>
      <c r="J277" s="39"/>
      <c r="K277" s="12"/>
      <c r="L277" s="12"/>
      <c r="M277" s="12"/>
      <c r="N277" s="12">
        <v>15</v>
      </c>
      <c r="O277" s="12"/>
      <c r="P277" s="12"/>
      <c r="Q277" s="12"/>
      <c r="R277" s="12"/>
      <c r="S277" s="12"/>
      <c r="T277" s="12"/>
      <c r="U277" s="13"/>
    </row>
    <row r="278" spans="1:21" ht="12.75">
      <c r="A278" s="2">
        <v>40991</v>
      </c>
      <c r="B278" s="7" t="s">
        <v>204</v>
      </c>
      <c r="C278" s="23">
        <v>20</v>
      </c>
      <c r="D278" s="16">
        <f>C277/(C277+C278)*(D279-D277)+D277</f>
        <v>990.275</v>
      </c>
      <c r="E278" s="12"/>
      <c r="F278" s="12"/>
      <c r="G278" s="12">
        <v>71.42</v>
      </c>
      <c r="H278" s="12"/>
      <c r="I278" s="12"/>
      <c r="J278" s="39"/>
      <c r="K278" s="12"/>
      <c r="L278" s="12"/>
      <c r="M278" s="12"/>
      <c r="N278" s="12">
        <v>15.75</v>
      </c>
      <c r="O278" s="12"/>
      <c r="P278" s="12"/>
      <c r="Q278" s="12"/>
      <c r="R278" s="12"/>
      <c r="S278" s="12"/>
      <c r="T278" s="12"/>
      <c r="U278" s="13"/>
    </row>
    <row r="279" spans="1:21" ht="12.75">
      <c r="A279" s="2">
        <v>40992</v>
      </c>
      <c r="B279" s="7" t="s">
        <v>184</v>
      </c>
      <c r="C279" s="23">
        <v>5.5</v>
      </c>
      <c r="D279" s="16">
        <v>992.5</v>
      </c>
      <c r="E279" s="12"/>
      <c r="F279" s="12"/>
      <c r="G279" s="12">
        <f>40+125</f>
        <v>165</v>
      </c>
      <c r="H279" s="12"/>
      <c r="I279" s="12"/>
      <c r="J279" s="39"/>
      <c r="K279" s="12"/>
      <c r="L279" s="12"/>
      <c r="M279" s="12"/>
      <c r="N279" s="12"/>
      <c r="O279" s="12"/>
      <c r="P279" s="12"/>
      <c r="Q279" s="12"/>
      <c r="R279" s="12"/>
      <c r="S279" s="12">
        <v>7</v>
      </c>
      <c r="T279" s="12"/>
      <c r="U279" s="13" t="s">
        <v>243</v>
      </c>
    </row>
    <row r="280" spans="1:21" ht="12.75">
      <c r="A280" s="2">
        <v>40993</v>
      </c>
      <c r="B280" s="7" t="s">
        <v>166</v>
      </c>
      <c r="C280" s="23">
        <v>5.8</v>
      </c>
      <c r="D280" s="16">
        <f>D279+2</f>
        <v>994.5</v>
      </c>
      <c r="E280" s="12">
        <f>19.75</f>
        <v>19.75</v>
      </c>
      <c r="F280" s="12"/>
      <c r="G280" s="12"/>
      <c r="H280" s="12">
        <v>23</v>
      </c>
      <c r="I280" s="12"/>
      <c r="J280" s="39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3"/>
    </row>
    <row r="281" spans="1:21" ht="12.75">
      <c r="A281" s="2">
        <v>40994</v>
      </c>
      <c r="B281" s="7" t="s">
        <v>205</v>
      </c>
      <c r="C281" s="23">
        <v>23</v>
      </c>
      <c r="D281" s="16">
        <v>1002</v>
      </c>
      <c r="E281" s="12"/>
      <c r="F281" s="12"/>
      <c r="G281" s="12"/>
      <c r="H281" s="12"/>
      <c r="I281" s="12"/>
      <c r="J281" s="39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3"/>
    </row>
    <row r="282" spans="1:21" ht="12.75">
      <c r="A282" s="2">
        <v>40995</v>
      </c>
      <c r="B282" s="7" t="s">
        <v>206</v>
      </c>
      <c r="C282" s="23">
        <f>15.8+5.4+3.6</f>
        <v>24.800000000000004</v>
      </c>
      <c r="D282" s="16">
        <v>1006.9</v>
      </c>
      <c r="E282" s="12"/>
      <c r="F282" s="12"/>
      <c r="G282" s="12"/>
      <c r="H282" s="12"/>
      <c r="I282" s="12"/>
      <c r="J282" s="39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3"/>
    </row>
    <row r="283" spans="1:21" ht="12.75">
      <c r="A283" s="2">
        <v>40996</v>
      </c>
      <c r="B283" s="7" t="s">
        <v>173</v>
      </c>
      <c r="C283" s="23">
        <v>8</v>
      </c>
      <c r="D283" s="16">
        <v>1008.7</v>
      </c>
      <c r="E283" s="12"/>
      <c r="F283" s="12"/>
      <c r="G283" s="12"/>
      <c r="H283" s="12"/>
      <c r="I283" s="12"/>
      <c r="J283" s="39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3"/>
    </row>
    <row r="284" spans="1:21" ht="12.75">
      <c r="A284" s="2">
        <v>40997</v>
      </c>
      <c r="B284" s="7" t="s">
        <v>207</v>
      </c>
      <c r="C284" s="23">
        <v>35.5</v>
      </c>
      <c r="D284" s="16">
        <v>1016</v>
      </c>
      <c r="E284" s="12"/>
      <c r="F284" s="12"/>
      <c r="G284" s="12"/>
      <c r="H284" s="12"/>
      <c r="I284" s="12"/>
      <c r="J284" s="39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3"/>
    </row>
    <row r="285" spans="1:21" ht="12.75">
      <c r="A285" s="2">
        <v>40998</v>
      </c>
      <c r="B285" s="7" t="s">
        <v>198</v>
      </c>
      <c r="C285" s="23"/>
      <c r="D285" s="16"/>
      <c r="E285" s="12">
        <v>12.95</v>
      </c>
      <c r="F285" s="12"/>
      <c r="G285" s="12">
        <f>24.99+57.21</f>
        <v>82.2</v>
      </c>
      <c r="H285" s="12"/>
      <c r="I285" s="12">
        <f>59.01+60</f>
        <v>119.00999999999999</v>
      </c>
      <c r="J285" s="39">
        <f>I285*J273/I273</f>
        <v>22.958786390740087</v>
      </c>
      <c r="K285" s="12"/>
      <c r="L285" s="12"/>
      <c r="M285" s="12"/>
      <c r="N285" s="12"/>
      <c r="O285" s="12"/>
      <c r="P285" s="12"/>
      <c r="Q285" s="12"/>
      <c r="R285" s="12">
        <v>99</v>
      </c>
      <c r="S285" s="12"/>
      <c r="T285" s="12">
        <v>29.95</v>
      </c>
      <c r="U285" s="19" t="s">
        <v>262</v>
      </c>
    </row>
    <row r="286" spans="1:21" ht="13.5" thickBot="1">
      <c r="A286" s="2">
        <v>40999</v>
      </c>
      <c r="B286" s="7" t="s">
        <v>198</v>
      </c>
      <c r="C286" s="23"/>
      <c r="D286" s="16"/>
      <c r="E286" s="12">
        <f>5.84+74.6+28.89</f>
        <v>109.33</v>
      </c>
      <c r="F286" s="12">
        <v>19.04</v>
      </c>
      <c r="G286" s="12"/>
      <c r="H286" s="12">
        <v>37.2</v>
      </c>
      <c r="I286" s="12"/>
      <c r="J286" s="39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3"/>
    </row>
    <row r="287" spans="1:21" ht="13.5" thickBot="1">
      <c r="A287" s="4" t="s">
        <v>143</v>
      </c>
      <c r="B287" s="20"/>
      <c r="C287" s="27">
        <f>SUM(C256:C286)</f>
        <v>417.6</v>
      </c>
      <c r="D287" s="27">
        <f>D284-D248</f>
        <v>87.70000000000005</v>
      </c>
      <c r="E287" s="31">
        <f aca="true" t="shared" si="14" ref="E287:T287">SUM(E256:E286)</f>
        <v>683.7600000000001</v>
      </c>
      <c r="F287" s="31">
        <f t="shared" si="14"/>
        <v>32.41</v>
      </c>
      <c r="G287" s="31">
        <f t="shared" si="14"/>
        <v>412.62</v>
      </c>
      <c r="H287" s="31">
        <f t="shared" si="14"/>
        <v>633.71</v>
      </c>
      <c r="I287" s="31">
        <f t="shared" si="14"/>
        <v>176.03</v>
      </c>
      <c r="J287" s="40">
        <f t="shared" si="14"/>
        <v>33.95878639074009</v>
      </c>
      <c r="K287" s="31">
        <f t="shared" si="14"/>
        <v>0</v>
      </c>
      <c r="L287" s="31">
        <f t="shared" si="14"/>
        <v>0</v>
      </c>
      <c r="M287" s="31">
        <f t="shared" si="14"/>
        <v>236</v>
      </c>
      <c r="N287" s="31">
        <f t="shared" si="14"/>
        <v>30.75</v>
      </c>
      <c r="O287" s="31">
        <f t="shared" si="14"/>
        <v>0</v>
      </c>
      <c r="P287" s="31">
        <f t="shared" si="14"/>
        <v>38.25</v>
      </c>
      <c r="Q287" s="31">
        <f t="shared" si="14"/>
        <v>0</v>
      </c>
      <c r="R287" s="31">
        <f>SUM(R256:R286)</f>
        <v>113</v>
      </c>
      <c r="S287" s="31">
        <f>SUM(S256:S286)</f>
        <v>7</v>
      </c>
      <c r="T287" s="31">
        <f t="shared" si="14"/>
        <v>35.94</v>
      </c>
      <c r="U287" s="30">
        <f>SUM(E287:T287)-J287</f>
        <v>2399.47</v>
      </c>
    </row>
    <row r="288" spans="1:21" ht="13.5" thickBot="1">
      <c r="A288" s="4" t="s">
        <v>144</v>
      </c>
      <c r="B288" s="20"/>
      <c r="C288" s="27">
        <f>C287+C252</f>
        <v>2821.7293539499997</v>
      </c>
      <c r="D288" s="27">
        <f>D287+D252</f>
        <v>667.9000000000001</v>
      </c>
      <c r="E288" s="31">
        <f>E287+E252</f>
        <v>3911.7700000000004</v>
      </c>
      <c r="F288" s="31">
        <f aca="true" t="shared" si="15" ref="F288:T288">F287+F252</f>
        <v>249.42</v>
      </c>
      <c r="G288" s="31">
        <f t="shared" si="15"/>
        <v>1885.5333333333333</v>
      </c>
      <c r="H288" s="31">
        <f t="shared" si="15"/>
        <v>2212.4900000000002</v>
      </c>
      <c r="I288" s="31">
        <f t="shared" si="15"/>
        <v>1155.27</v>
      </c>
      <c r="J288" s="40">
        <f t="shared" si="15"/>
        <v>249.37125743321116</v>
      </c>
      <c r="K288" s="31">
        <f t="shared" si="15"/>
        <v>101.96000000000001</v>
      </c>
      <c r="L288" s="31">
        <f t="shared" si="15"/>
        <v>45</v>
      </c>
      <c r="M288" s="31">
        <f t="shared" si="15"/>
        <v>1811.29</v>
      </c>
      <c r="N288" s="31">
        <f t="shared" si="15"/>
        <v>315.17</v>
      </c>
      <c r="O288" s="31">
        <f t="shared" si="15"/>
        <v>0</v>
      </c>
      <c r="P288" s="31">
        <f t="shared" si="15"/>
        <v>3999.92</v>
      </c>
      <c r="Q288" s="31">
        <f t="shared" si="15"/>
        <v>220</v>
      </c>
      <c r="R288" s="31">
        <f>R287+R252</f>
        <v>310</v>
      </c>
      <c r="S288" s="31">
        <f>S287+S252</f>
        <v>47.89</v>
      </c>
      <c r="T288" s="31">
        <f t="shared" si="15"/>
        <v>2254.7000000000003</v>
      </c>
      <c r="U288" s="30">
        <f>SUM(E288:T288)-J288</f>
        <v>18520.413333333334</v>
      </c>
    </row>
    <row r="289" ht="13.5" thickBot="1">
      <c r="A289" s="2"/>
    </row>
    <row r="290" ht="13.5" thickBot="1">
      <c r="A290" s="4" t="s">
        <v>17</v>
      </c>
    </row>
    <row r="291" ht="12.75">
      <c r="A291" s="2"/>
    </row>
    <row r="292" spans="1:21" ht="12.75">
      <c r="A292" s="2">
        <v>41000</v>
      </c>
      <c r="B292" s="7" t="s">
        <v>198</v>
      </c>
      <c r="C292" s="23"/>
      <c r="D292" s="16"/>
      <c r="E292" s="12">
        <f>6.99+3.12</f>
        <v>10.11</v>
      </c>
      <c r="F292" s="12">
        <v>12.54</v>
      </c>
      <c r="G292" s="12"/>
      <c r="H292" s="12"/>
      <c r="I292" s="12"/>
      <c r="J292" s="39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3"/>
    </row>
    <row r="293" spans="1:21" ht="12.75">
      <c r="A293" s="2">
        <v>41001</v>
      </c>
      <c r="B293" s="7" t="s">
        <v>208</v>
      </c>
      <c r="C293" s="23">
        <v>6.6</v>
      </c>
      <c r="D293" s="16">
        <v>1017.6</v>
      </c>
      <c r="E293" s="12">
        <f>11.94</f>
        <v>11.94</v>
      </c>
      <c r="F293" s="12"/>
      <c r="G293" s="12"/>
      <c r="H293" s="12">
        <v>87.8</v>
      </c>
      <c r="I293" s="12"/>
      <c r="J293" s="39"/>
      <c r="K293" s="12"/>
      <c r="L293" s="12"/>
      <c r="M293" s="12">
        <v>236</v>
      </c>
      <c r="N293" s="12"/>
      <c r="O293" s="12"/>
      <c r="P293" s="12"/>
      <c r="Q293" s="12"/>
      <c r="R293" s="12"/>
      <c r="S293" s="12"/>
      <c r="T293" s="12"/>
      <c r="U293" s="13"/>
    </row>
    <row r="294" spans="1:21" ht="12.75">
      <c r="A294" s="2">
        <v>41002</v>
      </c>
      <c r="B294" s="8" t="s">
        <v>209</v>
      </c>
      <c r="C294" s="23"/>
      <c r="D294" s="16"/>
      <c r="E294" s="12"/>
      <c r="F294" s="12"/>
      <c r="G294" s="12"/>
      <c r="H294" s="12"/>
      <c r="I294" s="12"/>
      <c r="J294" s="39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3"/>
    </row>
    <row r="295" spans="1:21" ht="12.75">
      <c r="A295" s="2">
        <v>41003</v>
      </c>
      <c r="B295" s="8" t="s">
        <v>210</v>
      </c>
      <c r="C295" s="23">
        <v>7.7</v>
      </c>
      <c r="D295" s="16">
        <v>1020.8</v>
      </c>
      <c r="E295" s="12"/>
      <c r="F295" s="12"/>
      <c r="G295" s="12"/>
      <c r="H295" s="12"/>
      <c r="I295" s="12"/>
      <c r="J295" s="39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3"/>
    </row>
    <row r="296" spans="1:21" ht="12.75">
      <c r="A296" s="2">
        <v>41004</v>
      </c>
      <c r="B296" s="8" t="s">
        <v>198</v>
      </c>
      <c r="C296" s="23">
        <v>1.7</v>
      </c>
      <c r="D296" s="16">
        <v>1021.3</v>
      </c>
      <c r="E296" s="12">
        <v>5.95</v>
      </c>
      <c r="F296" s="12">
        <v>3.8</v>
      </c>
      <c r="G296" s="12"/>
      <c r="H296" s="12">
        <f>138.6+162.12</f>
        <v>300.72</v>
      </c>
      <c r="I296" s="12"/>
      <c r="J296" s="39"/>
      <c r="K296" s="12"/>
      <c r="L296" s="12"/>
      <c r="M296" s="12"/>
      <c r="N296" s="12"/>
      <c r="O296" s="12"/>
      <c r="P296" s="12">
        <f>81.95+61.45</f>
        <v>143.4</v>
      </c>
      <c r="Q296" s="12"/>
      <c r="R296" s="12"/>
      <c r="S296" s="12"/>
      <c r="T296" s="12"/>
      <c r="U296" s="19" t="s">
        <v>245</v>
      </c>
    </row>
    <row r="297" spans="1:21" ht="12.75">
      <c r="A297" s="2">
        <v>41005</v>
      </c>
      <c r="B297" s="8" t="s">
        <v>212</v>
      </c>
      <c r="C297" s="23"/>
      <c r="D297" s="16"/>
      <c r="E297" s="12"/>
      <c r="F297" s="12"/>
      <c r="G297" s="12">
        <v>3.6</v>
      </c>
      <c r="H297" s="12"/>
      <c r="I297" s="12"/>
      <c r="J297" s="39"/>
      <c r="K297" s="12"/>
      <c r="L297" s="12"/>
      <c r="M297" s="12"/>
      <c r="N297" s="12"/>
      <c r="O297" s="12"/>
      <c r="P297" s="12"/>
      <c r="Q297" s="12"/>
      <c r="R297" s="12"/>
      <c r="S297" s="12"/>
      <c r="T297" s="12">
        <v>6.95</v>
      </c>
      <c r="U297" s="19" t="s">
        <v>246</v>
      </c>
    </row>
    <row r="298" spans="1:21" ht="12.75">
      <c r="A298" s="2">
        <v>41006</v>
      </c>
      <c r="B298" s="8" t="s">
        <v>212</v>
      </c>
      <c r="C298" s="23"/>
      <c r="D298" s="16"/>
      <c r="E298" s="12">
        <f>172.65+20</f>
        <v>192.65</v>
      </c>
      <c r="F298" s="12">
        <v>24.63</v>
      </c>
      <c r="G298" s="12">
        <v>112.7</v>
      </c>
      <c r="H298" s="12">
        <v>103.5</v>
      </c>
      <c r="I298" s="12"/>
      <c r="J298" s="39"/>
      <c r="K298" s="12"/>
      <c r="L298" s="12"/>
      <c r="M298" s="12"/>
      <c r="N298" s="12"/>
      <c r="O298" s="12"/>
      <c r="P298" s="12"/>
      <c r="Q298" s="12">
        <v>15</v>
      </c>
      <c r="R298" s="12"/>
      <c r="S298" s="12"/>
      <c r="T298" s="12"/>
      <c r="U298" s="19" t="s">
        <v>247</v>
      </c>
    </row>
    <row r="299" spans="1:21" ht="12.75">
      <c r="A299" s="2">
        <v>41007</v>
      </c>
      <c r="B299" s="8" t="s">
        <v>213</v>
      </c>
      <c r="C299" s="23">
        <v>41.7</v>
      </c>
      <c r="D299" s="16">
        <v>1029</v>
      </c>
      <c r="E299" s="12"/>
      <c r="F299" s="12"/>
      <c r="G299" s="12"/>
      <c r="H299" s="12"/>
      <c r="I299" s="12"/>
      <c r="J299" s="39"/>
      <c r="K299" s="12"/>
      <c r="L299" s="12"/>
      <c r="M299" s="12">
        <v>177</v>
      </c>
      <c r="N299" s="12"/>
      <c r="O299" s="12"/>
      <c r="P299" s="12"/>
      <c r="Q299" s="12"/>
      <c r="R299" s="12"/>
      <c r="S299" s="12"/>
      <c r="T299" s="12"/>
      <c r="U299" s="13"/>
    </row>
    <row r="300" spans="1:21" ht="12.75">
      <c r="A300" s="2">
        <v>41008</v>
      </c>
      <c r="B300" s="8" t="s">
        <v>223</v>
      </c>
      <c r="C300" s="23">
        <v>11.4</v>
      </c>
      <c r="D300" s="16">
        <v>1032.2</v>
      </c>
      <c r="E300" s="12"/>
      <c r="F300" s="12"/>
      <c r="G300" s="12"/>
      <c r="H300" s="12"/>
      <c r="I300" s="12"/>
      <c r="J300" s="39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3"/>
    </row>
    <row r="301" spans="1:21" ht="12.75">
      <c r="A301" s="2">
        <v>41009</v>
      </c>
      <c r="B301" s="8" t="s">
        <v>224</v>
      </c>
      <c r="C301" s="23">
        <v>2.8</v>
      </c>
      <c r="D301" s="16">
        <v>1033.1</v>
      </c>
      <c r="E301" s="12">
        <v>3.25</v>
      </c>
      <c r="F301" s="12"/>
      <c r="G301" s="12"/>
      <c r="H301" s="12"/>
      <c r="I301" s="12"/>
      <c r="J301" s="39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3"/>
    </row>
    <row r="302" spans="1:21" ht="12.75">
      <c r="A302" s="2">
        <v>41010</v>
      </c>
      <c r="B302" s="8" t="s">
        <v>225</v>
      </c>
      <c r="C302" s="23">
        <v>29.9</v>
      </c>
      <c r="D302" s="16">
        <v>1041.2</v>
      </c>
      <c r="E302" s="12"/>
      <c r="F302" s="12"/>
      <c r="G302" s="12"/>
      <c r="H302" s="12"/>
      <c r="I302" s="12"/>
      <c r="J302" s="39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3"/>
    </row>
    <row r="303" spans="1:21" ht="12.75">
      <c r="A303" s="2">
        <v>41011</v>
      </c>
      <c r="B303" s="8" t="s">
        <v>211</v>
      </c>
      <c r="C303" s="23"/>
      <c r="D303" s="16"/>
      <c r="E303" s="12"/>
      <c r="F303" s="12"/>
      <c r="G303" s="12"/>
      <c r="H303" s="12"/>
      <c r="I303" s="12"/>
      <c r="J303" s="39"/>
      <c r="K303" s="12"/>
      <c r="L303" s="12"/>
      <c r="M303" s="12"/>
      <c r="N303" s="12"/>
      <c r="O303" s="12"/>
      <c r="P303" s="12"/>
      <c r="Q303" s="12">
        <v>18</v>
      </c>
      <c r="R303" s="12"/>
      <c r="S303" s="12"/>
      <c r="T303" s="12"/>
      <c r="U303" s="19" t="s">
        <v>247</v>
      </c>
    </row>
    <row r="304" spans="1:21" ht="12.75">
      <c r="A304" s="2">
        <v>41012</v>
      </c>
      <c r="B304" s="8" t="s">
        <v>211</v>
      </c>
      <c r="C304" s="23"/>
      <c r="D304" s="16"/>
      <c r="E304" s="12">
        <v>36.85</v>
      </c>
      <c r="F304" s="12">
        <v>5.31</v>
      </c>
      <c r="G304" s="12">
        <v>129.58</v>
      </c>
      <c r="H304" s="12"/>
      <c r="I304" s="12"/>
      <c r="J304" s="39"/>
      <c r="K304" s="12"/>
      <c r="L304" s="12"/>
      <c r="M304" s="12"/>
      <c r="N304" s="12"/>
      <c r="O304" s="12"/>
      <c r="P304" s="12"/>
      <c r="Q304" s="12">
        <v>20</v>
      </c>
      <c r="R304" s="12"/>
      <c r="S304" s="12"/>
      <c r="T304" s="12"/>
      <c r="U304" s="19" t="s">
        <v>247</v>
      </c>
    </row>
    <row r="305" spans="1:21" ht="12.75">
      <c r="A305" s="2">
        <v>41013</v>
      </c>
      <c r="B305" s="8" t="s">
        <v>211</v>
      </c>
      <c r="C305" s="23"/>
      <c r="D305" s="16"/>
      <c r="E305" s="12"/>
      <c r="F305" s="12"/>
      <c r="G305" s="12">
        <v>29.6</v>
      </c>
      <c r="H305" s="12"/>
      <c r="I305" s="12"/>
      <c r="J305" s="39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3"/>
    </row>
    <row r="306" spans="1:21" ht="12.75">
      <c r="A306" s="2">
        <v>41014</v>
      </c>
      <c r="B306" s="8" t="s">
        <v>211</v>
      </c>
      <c r="C306" s="23"/>
      <c r="D306" s="16"/>
      <c r="E306" s="12"/>
      <c r="F306" s="12">
        <v>34.63</v>
      </c>
      <c r="G306" s="12"/>
      <c r="H306" s="12"/>
      <c r="I306" s="12">
        <f>54+60</f>
        <v>114</v>
      </c>
      <c r="J306" s="39">
        <f>I306*J273/I273</f>
        <v>21.99228340933006</v>
      </c>
      <c r="K306" s="12"/>
      <c r="L306" s="12"/>
      <c r="M306" s="12"/>
      <c r="N306" s="12"/>
      <c r="O306" s="12"/>
      <c r="P306" s="12"/>
      <c r="Q306" s="12"/>
      <c r="R306" s="12">
        <v>14</v>
      </c>
      <c r="S306" s="12"/>
      <c r="T306" s="12"/>
      <c r="U306" s="19" t="s">
        <v>261</v>
      </c>
    </row>
    <row r="307" spans="1:21" ht="12.75">
      <c r="A307" s="2">
        <v>41015</v>
      </c>
      <c r="B307" s="8" t="s">
        <v>211</v>
      </c>
      <c r="C307" s="23"/>
      <c r="D307" s="16"/>
      <c r="E307" s="12"/>
      <c r="F307" s="12"/>
      <c r="G307" s="12"/>
      <c r="H307" s="12">
        <f>25.2+111.68+99.4</f>
        <v>236.28</v>
      </c>
      <c r="I307" s="12"/>
      <c r="J307" s="39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3"/>
    </row>
    <row r="308" spans="1:21" ht="12.75">
      <c r="A308" s="2">
        <v>41016</v>
      </c>
      <c r="B308" s="8" t="s">
        <v>211</v>
      </c>
      <c r="C308" s="23"/>
      <c r="D308" s="16"/>
      <c r="E308" s="12">
        <v>52.86</v>
      </c>
      <c r="F308" s="12">
        <v>27.2</v>
      </c>
      <c r="G308" s="12"/>
      <c r="H308" s="12"/>
      <c r="I308" s="12"/>
      <c r="J308" s="39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3"/>
    </row>
    <row r="309" spans="1:21" ht="12.75">
      <c r="A309" s="2">
        <v>41017</v>
      </c>
      <c r="B309" s="8" t="s">
        <v>211</v>
      </c>
      <c r="C309" s="23"/>
      <c r="D309" s="16"/>
      <c r="E309" s="12">
        <v>20</v>
      </c>
      <c r="F309" s="12"/>
      <c r="G309" s="12"/>
      <c r="H309" s="12">
        <f>75.5</f>
        <v>75.5</v>
      </c>
      <c r="I309" s="12"/>
      <c r="J309" s="39"/>
      <c r="K309" s="12"/>
      <c r="L309" s="12"/>
      <c r="M309" s="12"/>
      <c r="N309" s="12"/>
      <c r="O309" s="12"/>
      <c r="P309" s="12"/>
      <c r="Q309" s="12"/>
      <c r="R309" s="12"/>
      <c r="S309" s="12"/>
      <c r="T309" s="12">
        <v>1.99</v>
      </c>
      <c r="U309" s="19" t="s">
        <v>248</v>
      </c>
    </row>
    <row r="310" spans="1:21" ht="12.75">
      <c r="A310" s="2">
        <v>41018</v>
      </c>
      <c r="B310" s="8" t="s">
        <v>211</v>
      </c>
      <c r="C310" s="23"/>
      <c r="D310" s="16"/>
      <c r="E310" s="12">
        <v>20</v>
      </c>
      <c r="F310" s="12"/>
      <c r="G310" s="12"/>
      <c r="H310" s="12"/>
      <c r="I310" s="12"/>
      <c r="J310" s="39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3"/>
    </row>
    <row r="311" spans="1:21" ht="12.75">
      <c r="A311" s="2">
        <v>41019</v>
      </c>
      <c r="B311" s="8" t="s">
        <v>211</v>
      </c>
      <c r="C311" s="23"/>
      <c r="D311" s="16"/>
      <c r="E311" s="12">
        <f>11.98+125.3+3.49</f>
        <v>140.77</v>
      </c>
      <c r="F311" s="12"/>
      <c r="G311" s="12"/>
      <c r="H311" s="12"/>
      <c r="I311" s="12"/>
      <c r="J311" s="39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3"/>
    </row>
    <row r="312" spans="1:21" ht="12.75">
      <c r="A312" s="2">
        <v>41020</v>
      </c>
      <c r="B312" s="8" t="s">
        <v>211</v>
      </c>
      <c r="C312" s="23"/>
      <c r="D312" s="16"/>
      <c r="E312" s="12"/>
      <c r="F312" s="12"/>
      <c r="G312" s="12">
        <v>4.45</v>
      </c>
      <c r="H312" s="12">
        <v>94.1</v>
      </c>
      <c r="I312" s="12"/>
      <c r="J312" s="39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3"/>
    </row>
    <row r="313" spans="1:21" ht="12.75">
      <c r="A313" s="2">
        <v>41021</v>
      </c>
      <c r="B313" s="8" t="s">
        <v>211</v>
      </c>
      <c r="C313" s="23"/>
      <c r="D313" s="16"/>
      <c r="E313" s="12">
        <v>6.84</v>
      </c>
      <c r="F313" s="12"/>
      <c r="G313" s="12">
        <v>15.18</v>
      </c>
      <c r="H313" s="12"/>
      <c r="I313" s="12"/>
      <c r="J313" s="39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3"/>
    </row>
    <row r="314" spans="1:21" ht="12.75">
      <c r="A314" s="2">
        <v>41022</v>
      </c>
      <c r="B314" s="8" t="s">
        <v>211</v>
      </c>
      <c r="C314" s="23"/>
      <c r="D314" s="16"/>
      <c r="E314" s="12"/>
      <c r="F314" s="12">
        <v>1.3</v>
      </c>
      <c r="G314" s="12">
        <v>21.5</v>
      </c>
      <c r="H314" s="12"/>
      <c r="I314" s="12"/>
      <c r="J314" s="39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3"/>
    </row>
    <row r="315" spans="1:21" ht="12.75">
      <c r="A315" s="2">
        <v>41023</v>
      </c>
      <c r="B315" s="8" t="s">
        <v>211</v>
      </c>
      <c r="C315" s="23"/>
      <c r="D315" s="16"/>
      <c r="E315" s="12"/>
      <c r="F315" s="12"/>
      <c r="G315" s="12">
        <v>13.5</v>
      </c>
      <c r="H315" s="12"/>
      <c r="I315" s="12"/>
      <c r="J315" s="39"/>
      <c r="K315" s="12"/>
      <c r="L315" s="12"/>
      <c r="M315" s="12"/>
      <c r="N315" s="12"/>
      <c r="O315" s="12"/>
      <c r="P315" s="12"/>
      <c r="Q315" s="12"/>
      <c r="R315" s="12">
        <v>14</v>
      </c>
      <c r="S315" s="12"/>
      <c r="T315" s="43"/>
      <c r="U315" s="19" t="s">
        <v>261</v>
      </c>
    </row>
    <row r="316" spans="1:21" ht="12.75">
      <c r="A316" s="2">
        <v>41024</v>
      </c>
      <c r="B316" s="8" t="s">
        <v>226</v>
      </c>
      <c r="C316" s="23">
        <v>40.3</v>
      </c>
      <c r="D316" s="16" t="s">
        <v>227</v>
      </c>
      <c r="E316" s="12"/>
      <c r="F316" s="12"/>
      <c r="G316" s="12"/>
      <c r="H316" s="12"/>
      <c r="I316" s="12"/>
      <c r="J316" s="39"/>
      <c r="K316" s="12"/>
      <c r="L316" s="12"/>
      <c r="M316" s="12">
        <v>708</v>
      </c>
      <c r="N316" s="12"/>
      <c r="O316" s="12"/>
      <c r="P316" s="12"/>
      <c r="Q316" s="12"/>
      <c r="R316" s="12"/>
      <c r="S316" s="12"/>
      <c r="T316" s="12"/>
      <c r="U316" s="13"/>
    </row>
    <row r="317" spans="1:21" ht="12.75">
      <c r="A317" s="2">
        <v>41025</v>
      </c>
      <c r="B317" s="8" t="s">
        <v>228</v>
      </c>
      <c r="C317" s="23">
        <v>87.5</v>
      </c>
      <c r="D317" s="16">
        <v>1064.1</v>
      </c>
      <c r="E317" s="12"/>
      <c r="F317" s="12"/>
      <c r="G317" s="12"/>
      <c r="H317" s="12"/>
      <c r="I317" s="12"/>
      <c r="J317" s="39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3"/>
    </row>
    <row r="318" spans="1:21" ht="12.75">
      <c r="A318" s="2">
        <v>41026</v>
      </c>
      <c r="B318" s="8" t="s">
        <v>229</v>
      </c>
      <c r="C318" s="23"/>
      <c r="D318" s="16"/>
      <c r="E318" s="12"/>
      <c r="F318" s="12"/>
      <c r="G318" s="12"/>
      <c r="H318" s="12"/>
      <c r="I318" s="12"/>
      <c r="J318" s="39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3"/>
    </row>
    <row r="319" spans="1:21" ht="12.75">
      <c r="A319" s="2">
        <v>41027</v>
      </c>
      <c r="B319" s="8" t="s">
        <v>229</v>
      </c>
      <c r="C319" s="23"/>
      <c r="D319" s="16"/>
      <c r="E319" s="12"/>
      <c r="F319" s="12"/>
      <c r="G319" s="12"/>
      <c r="H319" s="12"/>
      <c r="I319" s="12"/>
      <c r="J319" s="39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3"/>
    </row>
    <row r="320" spans="1:21" ht="12.75">
      <c r="A320" s="2">
        <v>41028</v>
      </c>
      <c r="B320" s="8" t="s">
        <v>229</v>
      </c>
      <c r="C320" s="23"/>
      <c r="D320" s="16"/>
      <c r="E320" s="12"/>
      <c r="F320" s="12"/>
      <c r="G320" s="12"/>
      <c r="H320" s="12"/>
      <c r="I320" s="12"/>
      <c r="J320" s="39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3"/>
    </row>
    <row r="321" spans="1:21" ht="13.5" thickBot="1">
      <c r="A321" s="2">
        <v>41029</v>
      </c>
      <c r="B321" s="8" t="s">
        <v>229</v>
      </c>
      <c r="C321" s="23"/>
      <c r="D321" s="16"/>
      <c r="E321" s="12"/>
      <c r="F321" s="12"/>
      <c r="G321" s="12"/>
      <c r="H321" s="12"/>
      <c r="I321" s="12"/>
      <c r="J321" s="39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3"/>
    </row>
    <row r="322" spans="1:21" ht="13.5" thickBot="1">
      <c r="A322" s="4" t="s">
        <v>143</v>
      </c>
      <c r="B322" s="20"/>
      <c r="C322" s="27">
        <f>SUM(C291:C321)</f>
        <v>229.60000000000002</v>
      </c>
      <c r="D322" s="27">
        <f>D317-D284</f>
        <v>48.09999999999991</v>
      </c>
      <c r="E322" s="31">
        <f aca="true" t="shared" si="16" ref="E322:T322">SUM(E291:E321)</f>
        <v>501.21999999999997</v>
      </c>
      <c r="F322" s="31">
        <f t="shared" si="16"/>
        <v>109.41</v>
      </c>
      <c r="G322" s="31">
        <f t="shared" si="16"/>
        <v>330.11</v>
      </c>
      <c r="H322" s="31">
        <f t="shared" si="16"/>
        <v>897.9000000000001</v>
      </c>
      <c r="I322" s="31">
        <f t="shared" si="16"/>
        <v>114</v>
      </c>
      <c r="J322" s="40">
        <f t="shared" si="16"/>
        <v>21.99228340933006</v>
      </c>
      <c r="K322" s="31">
        <f t="shared" si="16"/>
        <v>0</v>
      </c>
      <c r="L322" s="31">
        <f t="shared" si="16"/>
        <v>0</v>
      </c>
      <c r="M322" s="31">
        <f t="shared" si="16"/>
        <v>1121</v>
      </c>
      <c r="N322" s="31">
        <f t="shared" si="16"/>
        <v>0</v>
      </c>
      <c r="O322" s="31">
        <f t="shared" si="16"/>
        <v>0</v>
      </c>
      <c r="P322" s="31">
        <f t="shared" si="16"/>
        <v>143.4</v>
      </c>
      <c r="Q322" s="31">
        <f t="shared" si="16"/>
        <v>53</v>
      </c>
      <c r="R322" s="31">
        <f>SUM(R291:R321)</f>
        <v>28</v>
      </c>
      <c r="S322" s="31">
        <f>SUM(S291:S321)</f>
        <v>0</v>
      </c>
      <c r="T322" s="31">
        <f t="shared" si="16"/>
        <v>8.94</v>
      </c>
      <c r="U322" s="30">
        <f>SUM(E322:T322)--J322</f>
        <v>3350.96456681866</v>
      </c>
    </row>
    <row r="323" spans="1:21" ht="13.5" thickBot="1">
      <c r="A323" s="4" t="s">
        <v>144</v>
      </c>
      <c r="B323" s="20"/>
      <c r="C323" s="27">
        <f>C322+C288</f>
        <v>3051.3293539499996</v>
      </c>
      <c r="D323" s="27">
        <f>D322+D288</f>
        <v>716</v>
      </c>
      <c r="E323" s="31">
        <f>E322+E288</f>
        <v>4412.990000000001</v>
      </c>
      <c r="F323" s="31">
        <f aca="true" t="shared" si="17" ref="F323:T323">F322+F288</f>
        <v>358.83</v>
      </c>
      <c r="G323" s="31">
        <f t="shared" si="17"/>
        <v>2215.6433333333334</v>
      </c>
      <c r="H323" s="31">
        <f t="shared" si="17"/>
        <v>3110.3900000000003</v>
      </c>
      <c r="I323" s="31">
        <f t="shared" si="17"/>
        <v>1269.27</v>
      </c>
      <c r="J323" s="40">
        <f t="shared" si="17"/>
        <v>271.3635408425412</v>
      </c>
      <c r="K323" s="31">
        <f t="shared" si="17"/>
        <v>101.96000000000001</v>
      </c>
      <c r="L323" s="31">
        <f t="shared" si="17"/>
        <v>45</v>
      </c>
      <c r="M323" s="31">
        <f t="shared" si="17"/>
        <v>2932.29</v>
      </c>
      <c r="N323" s="31">
        <f t="shared" si="17"/>
        <v>315.17</v>
      </c>
      <c r="O323" s="31">
        <f t="shared" si="17"/>
        <v>0</v>
      </c>
      <c r="P323" s="31">
        <f t="shared" si="17"/>
        <v>4143.32</v>
      </c>
      <c r="Q323" s="31">
        <f t="shared" si="17"/>
        <v>273</v>
      </c>
      <c r="R323" s="31">
        <f>R322+R288</f>
        <v>338</v>
      </c>
      <c r="S323" s="31">
        <f>S322+S288</f>
        <v>47.89</v>
      </c>
      <c r="T323" s="31">
        <f t="shared" si="17"/>
        <v>2263.6400000000003</v>
      </c>
      <c r="U323" s="30">
        <f>SUM(E323:T323)-J323</f>
        <v>21827.393333333333</v>
      </c>
    </row>
    <row r="324" ht="13.5" thickBot="1">
      <c r="A324" s="2"/>
    </row>
    <row r="325" ht="13.5" thickBot="1">
      <c r="A325" s="3" t="s">
        <v>18</v>
      </c>
    </row>
    <row r="326" ht="12.75">
      <c r="A326" s="2"/>
    </row>
    <row r="327" spans="1:21" ht="12.75">
      <c r="A327" s="2">
        <v>41030</v>
      </c>
      <c r="B327" s="8" t="s">
        <v>229</v>
      </c>
      <c r="C327" s="23"/>
      <c r="D327" s="16"/>
      <c r="E327" s="12"/>
      <c r="F327" s="12"/>
      <c r="G327" s="12"/>
      <c r="H327" s="12"/>
      <c r="I327" s="12"/>
      <c r="J327" s="39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3"/>
    </row>
    <row r="328" spans="1:21" ht="12.75">
      <c r="A328" s="2">
        <v>41031</v>
      </c>
      <c r="B328" s="8" t="s">
        <v>229</v>
      </c>
      <c r="C328" s="23"/>
      <c r="D328" s="16"/>
      <c r="E328" s="12"/>
      <c r="F328" s="12"/>
      <c r="G328" s="12">
        <v>21.5</v>
      </c>
      <c r="H328" s="12"/>
      <c r="I328" s="12"/>
      <c r="J328" s="39"/>
      <c r="K328" s="12"/>
      <c r="L328" s="12"/>
      <c r="M328" s="12">
        <v>218.4</v>
      </c>
      <c r="N328" s="12"/>
      <c r="O328" s="12"/>
      <c r="P328" s="12"/>
      <c r="Q328" s="12"/>
      <c r="R328" s="12"/>
      <c r="S328" s="12"/>
      <c r="T328" s="12"/>
      <c r="U328" s="13"/>
    </row>
    <row r="329" spans="1:21" ht="12.75">
      <c r="A329" s="2">
        <v>41032</v>
      </c>
      <c r="B329" s="8" t="s">
        <v>230</v>
      </c>
      <c r="C329" s="23">
        <v>53.4</v>
      </c>
      <c r="D329" s="16">
        <v>1074.8</v>
      </c>
      <c r="E329" s="12"/>
      <c r="F329" s="12"/>
      <c r="G329" s="12"/>
      <c r="H329" s="12"/>
      <c r="I329" s="12"/>
      <c r="J329" s="39"/>
      <c r="K329" s="12"/>
      <c r="L329" s="12"/>
      <c r="M329" s="12"/>
      <c r="N329" s="12"/>
      <c r="O329" s="12"/>
      <c r="P329" s="12"/>
      <c r="Q329" s="12">
        <v>12.5</v>
      </c>
      <c r="R329" s="12"/>
      <c r="S329" s="12"/>
      <c r="T329" s="12"/>
      <c r="U329" s="19" t="s">
        <v>250</v>
      </c>
    </row>
    <row r="330" spans="1:21" ht="12.75">
      <c r="A330" s="2">
        <v>41033</v>
      </c>
      <c r="B330" s="8" t="s">
        <v>231</v>
      </c>
      <c r="C330" s="23"/>
      <c r="D330" s="16"/>
      <c r="E330" s="12"/>
      <c r="F330" s="12">
        <f>11.99+8.55</f>
        <v>20.54</v>
      </c>
      <c r="G330" s="12">
        <f>8.15+48.55</f>
        <v>56.699999999999996</v>
      </c>
      <c r="H330" s="12"/>
      <c r="I330" s="12"/>
      <c r="J330" s="39"/>
      <c r="K330" s="12"/>
      <c r="L330" s="12"/>
      <c r="M330" s="12"/>
      <c r="N330" s="12"/>
      <c r="O330" s="12"/>
      <c r="P330" s="12"/>
      <c r="Q330" s="12"/>
      <c r="R330" s="12">
        <v>40</v>
      </c>
      <c r="S330" s="12"/>
      <c r="T330" s="12"/>
      <c r="U330" s="19" t="s">
        <v>249</v>
      </c>
    </row>
    <row r="331" spans="1:21" ht="12.75">
      <c r="A331" s="2">
        <v>41034</v>
      </c>
      <c r="B331" s="8" t="s">
        <v>231</v>
      </c>
      <c r="C331" s="23"/>
      <c r="D331" s="16"/>
      <c r="E331" s="12"/>
      <c r="F331" s="12"/>
      <c r="G331" s="12">
        <f>7+34.37+10</f>
        <v>51.37</v>
      </c>
      <c r="H331" s="12"/>
      <c r="I331" s="12"/>
      <c r="J331" s="39"/>
      <c r="K331" s="12"/>
      <c r="L331" s="12"/>
      <c r="M331" s="12"/>
      <c r="N331" s="12"/>
      <c r="O331" s="12"/>
      <c r="P331" s="12"/>
      <c r="Q331" s="12"/>
      <c r="R331" s="12"/>
      <c r="S331" s="12"/>
      <c r="T331" s="12">
        <v>10.75</v>
      </c>
      <c r="U331" s="19" t="s">
        <v>251</v>
      </c>
    </row>
    <row r="332" spans="1:21" ht="12.75">
      <c r="A332" s="2">
        <v>41035</v>
      </c>
      <c r="B332" s="8" t="s">
        <v>231</v>
      </c>
      <c r="C332" s="23"/>
      <c r="D332" s="16"/>
      <c r="E332" s="12"/>
      <c r="F332" s="12"/>
      <c r="G332" s="12">
        <f>54.67</f>
        <v>54.67</v>
      </c>
      <c r="H332" s="12"/>
      <c r="I332" s="12"/>
      <c r="J332" s="39"/>
      <c r="K332" s="12"/>
      <c r="L332" s="12"/>
      <c r="M332" s="12"/>
      <c r="N332" s="12"/>
      <c r="O332" s="12"/>
      <c r="P332" s="12"/>
      <c r="Q332" s="12"/>
      <c r="R332" s="12"/>
      <c r="S332" s="12"/>
      <c r="T332" s="12">
        <f>21.4</f>
        <v>21.4</v>
      </c>
      <c r="U332" s="19" t="s">
        <v>252</v>
      </c>
    </row>
    <row r="333" spans="1:21" ht="12.75">
      <c r="A333" s="2">
        <v>41036</v>
      </c>
      <c r="B333" s="8" t="s">
        <v>232</v>
      </c>
      <c r="C333" s="23">
        <f>9*0.8689741</f>
        <v>7.8207669</v>
      </c>
      <c r="D333" s="16">
        <v>1080.8</v>
      </c>
      <c r="E333" s="12"/>
      <c r="F333" s="12"/>
      <c r="G333" s="12"/>
      <c r="H333" s="12"/>
      <c r="I333" s="12"/>
      <c r="J333" s="39"/>
      <c r="K333" s="12"/>
      <c r="L333" s="12"/>
      <c r="M333" s="12"/>
      <c r="N333" s="12"/>
      <c r="O333" s="12"/>
      <c r="P333" s="12"/>
      <c r="Q333" s="12"/>
      <c r="R333" s="12"/>
      <c r="S333" s="12"/>
      <c r="T333" s="12">
        <v>4.87</v>
      </c>
      <c r="U333" s="19" t="s">
        <v>253</v>
      </c>
    </row>
    <row r="334" spans="1:21" ht="12.75">
      <c r="A334" s="2">
        <v>41037</v>
      </c>
      <c r="B334" s="8" t="s">
        <v>233</v>
      </c>
      <c r="C334" s="23"/>
      <c r="D334" s="16"/>
      <c r="E334" s="12">
        <v>128.62</v>
      </c>
      <c r="F334" s="12"/>
      <c r="G334" s="12">
        <v>11.86</v>
      </c>
      <c r="H334" s="12"/>
      <c r="I334" s="12"/>
      <c r="J334" s="39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3"/>
    </row>
    <row r="335" spans="1:21" ht="12.75">
      <c r="A335" s="2">
        <v>41038</v>
      </c>
      <c r="B335" s="8" t="s">
        <v>233</v>
      </c>
      <c r="C335" s="23"/>
      <c r="D335" s="16"/>
      <c r="E335" s="12">
        <v>14</v>
      </c>
      <c r="F335" s="12"/>
      <c r="G335" s="12"/>
      <c r="H335" s="12"/>
      <c r="I335" s="12"/>
      <c r="J335" s="39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3"/>
    </row>
    <row r="336" spans="1:21" ht="12.75">
      <c r="A336" s="2">
        <v>41039</v>
      </c>
      <c r="B336" s="8" t="s">
        <v>233</v>
      </c>
      <c r="C336" s="23"/>
      <c r="D336" s="16"/>
      <c r="E336" s="12">
        <v>8.83</v>
      </c>
      <c r="F336" s="12"/>
      <c r="G336" s="12"/>
      <c r="H336" s="12"/>
      <c r="I336" s="12"/>
      <c r="J336" s="39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3"/>
    </row>
    <row r="337" spans="1:21" ht="12.75">
      <c r="A337" s="2">
        <v>41040</v>
      </c>
      <c r="B337" s="8" t="s">
        <v>233</v>
      </c>
      <c r="C337" s="23"/>
      <c r="D337" s="16"/>
      <c r="E337" s="12">
        <v>6.5</v>
      </c>
      <c r="F337" s="12">
        <v>16.39</v>
      </c>
      <c r="G337" s="12"/>
      <c r="H337" s="12"/>
      <c r="I337" s="12"/>
      <c r="J337" s="39"/>
      <c r="K337" s="12">
        <v>23.01</v>
      </c>
      <c r="L337" s="12"/>
      <c r="M337" s="12"/>
      <c r="N337" s="12"/>
      <c r="O337" s="12"/>
      <c r="P337" s="12"/>
      <c r="Q337" s="12"/>
      <c r="R337" s="12"/>
      <c r="S337" s="12"/>
      <c r="T337" s="12"/>
      <c r="U337" s="13"/>
    </row>
    <row r="338" spans="1:21" ht="12.75">
      <c r="A338" s="2">
        <v>41041</v>
      </c>
      <c r="B338" s="8" t="s">
        <v>233</v>
      </c>
      <c r="C338" s="23"/>
      <c r="D338" s="16"/>
      <c r="E338" s="12">
        <v>8.55</v>
      </c>
      <c r="F338" s="12"/>
      <c r="G338" s="12"/>
      <c r="H338" s="12"/>
      <c r="I338" s="12"/>
      <c r="J338" s="39"/>
      <c r="K338" s="12"/>
      <c r="L338" s="12"/>
      <c r="M338" s="12">
        <v>10.7</v>
      </c>
      <c r="N338" s="12"/>
      <c r="O338" s="12"/>
      <c r="P338" s="12"/>
      <c r="Q338" s="12"/>
      <c r="R338" s="12"/>
      <c r="S338" s="12"/>
      <c r="T338" s="12">
        <v>21.73</v>
      </c>
      <c r="U338" s="19" t="s">
        <v>254</v>
      </c>
    </row>
    <row r="339" spans="1:21" ht="12.75">
      <c r="A339" s="2">
        <v>41042</v>
      </c>
      <c r="B339" s="8" t="s">
        <v>233</v>
      </c>
      <c r="C339" s="23"/>
      <c r="D339" s="16"/>
      <c r="E339" s="12">
        <v>37.65</v>
      </c>
      <c r="F339" s="12"/>
      <c r="G339" s="12"/>
      <c r="H339" s="12"/>
      <c r="I339" s="12"/>
      <c r="J339" s="39"/>
      <c r="K339" s="12"/>
      <c r="L339" s="12"/>
      <c r="M339" s="12">
        <v>10.7</v>
      </c>
      <c r="N339" s="12"/>
      <c r="O339" s="12"/>
      <c r="P339" s="12"/>
      <c r="Q339" s="12"/>
      <c r="R339" s="12"/>
      <c r="S339" s="12"/>
      <c r="T339" s="12"/>
      <c r="U339" s="13"/>
    </row>
    <row r="340" spans="1:21" ht="12.75">
      <c r="A340" s="2">
        <v>41043</v>
      </c>
      <c r="B340" s="8" t="s">
        <v>234</v>
      </c>
      <c r="C340" s="23">
        <f>33.7*0.8689741</f>
        <v>29.28442717</v>
      </c>
      <c r="D340" s="16">
        <v>1087.8</v>
      </c>
      <c r="E340" s="12"/>
      <c r="F340" s="12"/>
      <c r="G340" s="12"/>
      <c r="H340" s="12"/>
      <c r="I340" s="12">
        <v>103.79</v>
      </c>
      <c r="J340" s="39">
        <v>19.404</v>
      </c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3"/>
    </row>
    <row r="341" spans="1:21" ht="12.75">
      <c r="A341" s="2">
        <v>41044</v>
      </c>
      <c r="B341" s="8" t="s">
        <v>235</v>
      </c>
      <c r="C341" s="23">
        <f>34.9*0.8689741</f>
        <v>30.327196089999997</v>
      </c>
      <c r="D341" s="16">
        <v>1095.5</v>
      </c>
      <c r="E341" s="12"/>
      <c r="F341" s="12"/>
      <c r="G341" s="12"/>
      <c r="H341" s="12"/>
      <c r="I341" s="12"/>
      <c r="J341" s="39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3"/>
    </row>
    <row r="342" spans="1:21" ht="12.75">
      <c r="A342" s="2">
        <v>41045</v>
      </c>
      <c r="B342" s="8" t="s">
        <v>138</v>
      </c>
      <c r="C342" s="23"/>
      <c r="D342" s="16"/>
      <c r="E342" s="12">
        <f>81.6-25</f>
        <v>56.599999999999994</v>
      </c>
      <c r="F342" s="12"/>
      <c r="G342" s="12"/>
      <c r="H342" s="12">
        <v>76.26</v>
      </c>
      <c r="I342" s="12"/>
      <c r="J342" s="39"/>
      <c r="K342" s="12"/>
      <c r="L342" s="12"/>
      <c r="M342" s="12"/>
      <c r="N342" s="12"/>
      <c r="O342" s="12"/>
      <c r="P342" s="12"/>
      <c r="Q342" s="12"/>
      <c r="R342" s="12">
        <v>25</v>
      </c>
      <c r="S342" s="12"/>
      <c r="T342" s="12"/>
      <c r="U342" s="19" t="s">
        <v>255</v>
      </c>
    </row>
    <row r="343" spans="1:21" ht="12.75">
      <c r="A343" s="2">
        <v>41046</v>
      </c>
      <c r="B343" s="8" t="s">
        <v>236</v>
      </c>
      <c r="C343" s="23">
        <f>50.3*0.8689741</f>
        <v>43.70939722999999</v>
      </c>
      <c r="D343" s="16">
        <v>1104.4</v>
      </c>
      <c r="E343" s="12"/>
      <c r="F343" s="12"/>
      <c r="G343" s="12"/>
      <c r="H343" s="12"/>
      <c r="I343" s="12"/>
      <c r="J343" s="39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3"/>
    </row>
    <row r="344" spans="1:21" ht="12.75">
      <c r="A344" s="2">
        <v>41047</v>
      </c>
      <c r="B344" s="8" t="s">
        <v>237</v>
      </c>
      <c r="C344" s="23">
        <f>56.6*0.8689741</f>
        <v>49.18393406</v>
      </c>
      <c r="D344" s="16">
        <v>1113.7</v>
      </c>
      <c r="E344" s="12"/>
      <c r="F344" s="12"/>
      <c r="G344" s="12"/>
      <c r="H344" s="12"/>
      <c r="I344" s="12"/>
      <c r="J344" s="39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3"/>
    </row>
    <row r="345" spans="1:21" ht="12.75">
      <c r="A345" s="2">
        <v>41048</v>
      </c>
      <c r="B345" s="8" t="s">
        <v>238</v>
      </c>
      <c r="C345" s="23">
        <f>66.9*0.8689741</f>
        <v>58.13436729</v>
      </c>
      <c r="D345" s="16">
        <v>1125.2</v>
      </c>
      <c r="E345" s="12"/>
      <c r="F345" s="12"/>
      <c r="G345" s="12"/>
      <c r="H345" s="12"/>
      <c r="I345" s="12"/>
      <c r="J345" s="39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3"/>
    </row>
    <row r="346" spans="1:21" ht="12.75">
      <c r="A346" s="2">
        <v>41049</v>
      </c>
      <c r="B346" s="8" t="s">
        <v>239</v>
      </c>
      <c r="C346" s="23">
        <f>64.8*0.8689741</f>
        <v>56.309521679999996</v>
      </c>
      <c r="D346" s="16">
        <v>1135.5</v>
      </c>
      <c r="E346" s="12"/>
      <c r="F346" s="12"/>
      <c r="G346" s="12"/>
      <c r="H346" s="12"/>
      <c r="I346" s="12"/>
      <c r="J346" s="39"/>
      <c r="K346" s="12"/>
      <c r="L346" s="12"/>
      <c r="M346" s="12"/>
      <c r="N346" s="12">
        <v>21</v>
      </c>
      <c r="O346" s="12"/>
      <c r="P346" s="12"/>
      <c r="Q346" s="12"/>
      <c r="R346" s="12"/>
      <c r="S346" s="12"/>
      <c r="T346" s="12"/>
      <c r="U346" s="13"/>
    </row>
    <row r="347" spans="1:21" ht="12.75">
      <c r="A347" s="2">
        <v>41050</v>
      </c>
      <c r="B347" s="8" t="s">
        <v>240</v>
      </c>
      <c r="C347" s="23">
        <f>42.9*0.8689741</f>
        <v>37.27898889</v>
      </c>
      <c r="D347" s="16">
        <v>1143.3</v>
      </c>
      <c r="E347" s="12"/>
      <c r="F347" s="12"/>
      <c r="G347" s="12"/>
      <c r="H347" s="12"/>
      <c r="I347" s="12">
        <v>44.66</v>
      </c>
      <c r="J347" s="39">
        <v>10.66</v>
      </c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3"/>
    </row>
    <row r="348" spans="1:21" ht="12.75">
      <c r="A348" s="2">
        <v>41051</v>
      </c>
      <c r="B348" s="8" t="s">
        <v>241</v>
      </c>
      <c r="C348" s="23">
        <f>14*0.8689741</f>
        <v>12.1656374</v>
      </c>
      <c r="D348" s="16">
        <v>1146</v>
      </c>
      <c r="E348" s="12"/>
      <c r="F348" s="12"/>
      <c r="G348" s="12">
        <f>10.36+25.66</f>
        <v>36.019999999999996</v>
      </c>
      <c r="H348" s="12"/>
      <c r="I348" s="12"/>
      <c r="J348" s="39"/>
      <c r="K348" s="12"/>
      <c r="L348" s="12"/>
      <c r="M348" s="12"/>
      <c r="N348" s="12"/>
      <c r="O348" s="12"/>
      <c r="P348" s="12"/>
      <c r="Q348" s="12">
        <v>919</v>
      </c>
      <c r="R348" s="12"/>
      <c r="S348" s="12"/>
      <c r="T348" s="12"/>
      <c r="U348" s="19" t="s">
        <v>256</v>
      </c>
    </row>
    <row r="349" spans="1:21" ht="12.75">
      <c r="A349" s="2">
        <v>41052</v>
      </c>
      <c r="B349" s="8" t="s">
        <v>242</v>
      </c>
      <c r="C349" s="23">
        <f>24.6*0.8689741</f>
        <v>21.37676286</v>
      </c>
      <c r="D349" s="16">
        <v>1150.4</v>
      </c>
      <c r="E349" s="12">
        <v>48.39</v>
      </c>
      <c r="F349" s="12"/>
      <c r="G349" s="12"/>
      <c r="H349" s="12"/>
      <c r="I349" s="12"/>
      <c r="J349" s="39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3"/>
    </row>
    <row r="350" spans="1:21" ht="12.75">
      <c r="A350" s="2">
        <v>41053</v>
      </c>
      <c r="B350" s="7" t="s">
        <v>257</v>
      </c>
      <c r="C350" s="23"/>
      <c r="D350" s="16"/>
      <c r="E350" s="12"/>
      <c r="F350" s="12"/>
      <c r="G350" s="12"/>
      <c r="H350" s="12"/>
      <c r="I350" s="12"/>
      <c r="J350" s="39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3"/>
    </row>
    <row r="351" spans="1:21" ht="12.75">
      <c r="A351" s="2">
        <v>41054</v>
      </c>
      <c r="B351" s="7" t="s">
        <v>257</v>
      </c>
      <c r="C351" s="23"/>
      <c r="D351" s="16"/>
      <c r="E351" s="12"/>
      <c r="F351" s="12"/>
      <c r="G351" s="12"/>
      <c r="H351" s="12"/>
      <c r="I351" s="12"/>
      <c r="J351" s="39"/>
      <c r="K351" s="12"/>
      <c r="L351" s="12"/>
      <c r="M351" s="12"/>
      <c r="N351" s="12"/>
      <c r="O351" s="12"/>
      <c r="P351" s="12"/>
      <c r="Q351" s="12"/>
      <c r="R351" s="12"/>
      <c r="S351" s="12">
        <f>1.75*2</f>
        <v>3.5</v>
      </c>
      <c r="T351" s="12"/>
      <c r="U351" s="19" t="s">
        <v>44</v>
      </c>
    </row>
    <row r="352" spans="1:21" ht="12.75">
      <c r="A352" s="2">
        <v>41055</v>
      </c>
      <c r="B352" s="7" t="s">
        <v>257</v>
      </c>
      <c r="C352" s="23"/>
      <c r="D352" s="16"/>
      <c r="E352" s="12"/>
      <c r="F352" s="12"/>
      <c r="G352" s="12"/>
      <c r="H352" s="12"/>
      <c r="I352" s="12">
        <v>60</v>
      </c>
      <c r="J352" s="39">
        <f>I352*J347/I347</f>
        <v>14.321540528437081</v>
      </c>
      <c r="K352" s="12"/>
      <c r="L352" s="12"/>
      <c r="M352" s="12"/>
      <c r="N352" s="12"/>
      <c r="O352" s="12"/>
      <c r="P352" s="12"/>
      <c r="Q352" s="12"/>
      <c r="R352" s="12">
        <f>3.75+3.5</f>
        <v>7.25</v>
      </c>
      <c r="S352" s="12">
        <f>3.75+3.5</f>
        <v>7.25</v>
      </c>
      <c r="T352" s="12"/>
      <c r="U352" s="19" t="s">
        <v>44</v>
      </c>
    </row>
    <row r="353" spans="1:21" ht="12.75">
      <c r="A353" s="2">
        <v>41056</v>
      </c>
      <c r="B353" s="7" t="s">
        <v>257</v>
      </c>
      <c r="C353" s="23"/>
      <c r="D353" s="16"/>
      <c r="E353" s="12"/>
      <c r="F353" s="12"/>
      <c r="G353" s="12"/>
      <c r="H353" s="12"/>
      <c r="I353" s="12"/>
      <c r="J353" s="39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3"/>
    </row>
    <row r="354" spans="1:21" ht="12.75">
      <c r="A354" s="2">
        <v>41057</v>
      </c>
      <c r="B354" s="7" t="s">
        <v>257</v>
      </c>
      <c r="C354" s="23"/>
      <c r="D354" s="16"/>
      <c r="E354" s="12">
        <f>13.44+6.56</f>
        <v>20</v>
      </c>
      <c r="F354" s="12"/>
      <c r="G354" s="12"/>
      <c r="H354" s="12"/>
      <c r="I354" s="12"/>
      <c r="J354" s="39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3"/>
    </row>
    <row r="355" spans="1:21" ht="12.75">
      <c r="A355" s="2">
        <v>41058</v>
      </c>
      <c r="B355" s="7" t="s">
        <v>257</v>
      </c>
      <c r="C355" s="23"/>
      <c r="D355" s="16"/>
      <c r="E355" s="12"/>
      <c r="F355" s="12"/>
      <c r="G355" s="12"/>
      <c r="H355" s="12"/>
      <c r="I355" s="12"/>
      <c r="J355" s="39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3"/>
    </row>
    <row r="356" spans="1:21" ht="12.75">
      <c r="A356" s="2">
        <v>41059</v>
      </c>
      <c r="B356" s="7" t="s">
        <v>257</v>
      </c>
      <c r="C356" s="23"/>
      <c r="D356" s="16"/>
      <c r="E356" s="12"/>
      <c r="F356" s="12"/>
      <c r="G356" s="12">
        <v>15</v>
      </c>
      <c r="H356" s="12"/>
      <c r="I356" s="12"/>
      <c r="J356" s="39"/>
      <c r="K356" s="12"/>
      <c r="L356" s="12"/>
      <c r="M356" s="12">
        <v>1163.79</v>
      </c>
      <c r="N356" s="12"/>
      <c r="O356" s="12"/>
      <c r="P356" s="12"/>
      <c r="Q356" s="12"/>
      <c r="R356" s="12"/>
      <c r="S356" s="12"/>
      <c r="T356" s="12">
        <v>160.28</v>
      </c>
      <c r="U356" s="19" t="s">
        <v>258</v>
      </c>
    </row>
    <row r="357" spans="1:21" ht="13.5" thickBot="1">
      <c r="A357" s="2">
        <v>41060</v>
      </c>
      <c r="B357" s="7" t="s">
        <v>257</v>
      </c>
      <c r="C357" s="23"/>
      <c r="D357" s="16"/>
      <c r="E357" s="12"/>
      <c r="F357" s="12"/>
      <c r="G357" s="12">
        <f>11.98+38.03</f>
        <v>50.010000000000005</v>
      </c>
      <c r="H357" s="12">
        <v>24</v>
      </c>
      <c r="I357" s="12"/>
      <c r="J357" s="39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3"/>
    </row>
    <row r="358" spans="1:21" ht="13.5" thickBot="1">
      <c r="A358" s="4" t="s">
        <v>143</v>
      </c>
      <c r="B358" s="20"/>
      <c r="C358" s="27">
        <f>SUM(C327:C357)</f>
        <v>398.99099956999993</v>
      </c>
      <c r="D358" s="27">
        <f>D349-D317</f>
        <v>86.30000000000018</v>
      </c>
      <c r="E358" s="31">
        <f aca="true" t="shared" si="18" ref="E358:T358">SUM(E327:E357)</f>
        <v>329.14</v>
      </c>
      <c r="F358" s="31">
        <f t="shared" si="18"/>
        <v>36.93</v>
      </c>
      <c r="G358" s="31">
        <f t="shared" si="18"/>
        <v>297.13</v>
      </c>
      <c r="H358" s="31">
        <f t="shared" si="18"/>
        <v>100.26</v>
      </c>
      <c r="I358" s="31">
        <f t="shared" si="18"/>
        <v>208.45</v>
      </c>
      <c r="J358" s="40">
        <f t="shared" si="18"/>
        <v>44.38554052843708</v>
      </c>
      <c r="K358" s="31">
        <f t="shared" si="18"/>
        <v>23.01</v>
      </c>
      <c r="L358" s="31">
        <f t="shared" si="18"/>
        <v>0</v>
      </c>
      <c r="M358" s="31">
        <f t="shared" si="18"/>
        <v>1403.59</v>
      </c>
      <c r="N358" s="31">
        <f t="shared" si="18"/>
        <v>21</v>
      </c>
      <c r="O358" s="31">
        <f t="shared" si="18"/>
        <v>0</v>
      </c>
      <c r="P358" s="31">
        <f t="shared" si="18"/>
        <v>0</v>
      </c>
      <c r="Q358" s="31">
        <f t="shared" si="18"/>
        <v>931.5</v>
      </c>
      <c r="R358" s="31">
        <f>SUM(R327:R357)</f>
        <v>72.25</v>
      </c>
      <c r="S358" s="31">
        <f>SUM(S327:S357)</f>
        <v>10.75</v>
      </c>
      <c r="T358" s="31">
        <f t="shared" si="18"/>
        <v>219.03</v>
      </c>
      <c r="U358" s="30">
        <f>SUM(E358:T358)-J358</f>
        <v>3653.04</v>
      </c>
    </row>
    <row r="359" spans="1:21" ht="13.5" thickBot="1">
      <c r="A359" s="4" t="s">
        <v>144</v>
      </c>
      <c r="B359" s="20"/>
      <c r="C359" s="27">
        <f>C358+C323</f>
        <v>3450.3203535199996</v>
      </c>
      <c r="D359" s="27">
        <f>D349-D7</f>
        <v>808.9000000000001</v>
      </c>
      <c r="E359" s="31">
        <f>E358+E323</f>
        <v>4742.130000000001</v>
      </c>
      <c r="F359" s="31">
        <f aca="true" t="shared" si="19" ref="F359:T359">F358+F323</f>
        <v>395.76</v>
      </c>
      <c r="G359" s="31">
        <f t="shared" si="19"/>
        <v>2512.7733333333335</v>
      </c>
      <c r="H359" s="31">
        <f t="shared" si="19"/>
        <v>3210.6500000000005</v>
      </c>
      <c r="I359" s="31">
        <f t="shared" si="19"/>
        <v>1477.72</v>
      </c>
      <c r="J359" s="40">
        <f t="shared" si="19"/>
        <v>315.74908137097833</v>
      </c>
      <c r="K359" s="31">
        <f t="shared" si="19"/>
        <v>124.97000000000001</v>
      </c>
      <c r="L359" s="31">
        <f t="shared" si="19"/>
        <v>45</v>
      </c>
      <c r="M359" s="31">
        <f t="shared" si="19"/>
        <v>4335.88</v>
      </c>
      <c r="N359" s="31">
        <f t="shared" si="19"/>
        <v>336.17</v>
      </c>
      <c r="O359" s="31">
        <f t="shared" si="19"/>
        <v>0</v>
      </c>
      <c r="P359" s="31">
        <f t="shared" si="19"/>
        <v>4143.32</v>
      </c>
      <c r="Q359" s="31">
        <f t="shared" si="19"/>
        <v>1204.5</v>
      </c>
      <c r="R359" s="31">
        <f>R358+R323</f>
        <v>410.25</v>
      </c>
      <c r="S359" s="31">
        <f>S358+S323</f>
        <v>58.64</v>
      </c>
      <c r="T359" s="31">
        <f t="shared" si="19"/>
        <v>2482.6700000000005</v>
      </c>
      <c r="U359" s="30">
        <f>SUM(E359:T359)-J359</f>
        <v>25480.433333333334</v>
      </c>
    </row>
    <row r="360" spans="1:21" ht="13.5" thickBot="1">
      <c r="A360" s="33"/>
      <c r="B360" s="46"/>
      <c r="C360" s="5"/>
      <c r="D360" s="5"/>
      <c r="E360" s="5"/>
      <c r="F360" s="34"/>
      <c r="G360" s="34"/>
      <c r="H360" s="34"/>
      <c r="I360" s="34"/>
      <c r="J360" s="42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5"/>
    </row>
    <row r="361" spans="1:21" ht="26.25" thickBot="1">
      <c r="A361" s="2"/>
      <c r="B361" s="46"/>
      <c r="C361" s="5"/>
      <c r="D361" s="5"/>
      <c r="E361" s="5"/>
      <c r="T361" s="44" t="s">
        <v>265</v>
      </c>
      <c r="U361" s="45">
        <f>U359*1.05</f>
        <v>26754.455</v>
      </c>
    </row>
    <row r="362" ht="13.5" thickBot="1">
      <c r="A362" s="3" t="s">
        <v>19</v>
      </c>
    </row>
    <row r="363" ht="12.75">
      <c r="A363" s="2"/>
    </row>
    <row r="364" spans="1:21" ht="12.75">
      <c r="A364" s="2">
        <v>41061</v>
      </c>
      <c r="B364" s="8"/>
      <c r="C364" s="23"/>
      <c r="D364" s="16"/>
      <c r="E364" s="12"/>
      <c r="F364" s="12"/>
      <c r="G364" s="12"/>
      <c r="H364" s="12"/>
      <c r="I364" s="12"/>
      <c r="J364" s="39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3"/>
    </row>
    <row r="365" spans="1:21" ht="12.75">
      <c r="A365" s="2">
        <v>41062</v>
      </c>
      <c r="B365" s="8"/>
      <c r="C365" s="23"/>
      <c r="D365" s="16"/>
      <c r="E365" s="12"/>
      <c r="F365" s="12"/>
      <c r="G365" s="12"/>
      <c r="H365" s="12"/>
      <c r="I365" s="12"/>
      <c r="J365" s="39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3"/>
    </row>
    <row r="366" spans="1:21" ht="12.75">
      <c r="A366" s="2">
        <v>41063</v>
      </c>
      <c r="B366" s="8"/>
      <c r="C366" s="23"/>
      <c r="D366" s="16"/>
      <c r="E366" s="12"/>
      <c r="F366" s="12"/>
      <c r="G366" s="12"/>
      <c r="H366" s="12"/>
      <c r="I366" s="12"/>
      <c r="J366" s="39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3"/>
    </row>
    <row r="367" spans="1:21" ht="12.75">
      <c r="A367" s="2">
        <v>41064</v>
      </c>
      <c r="B367" s="8"/>
      <c r="C367" s="23"/>
      <c r="D367" s="16"/>
      <c r="E367" s="12"/>
      <c r="F367" s="12"/>
      <c r="G367" s="12"/>
      <c r="H367" s="12"/>
      <c r="I367" s="12"/>
      <c r="J367" s="39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3"/>
    </row>
    <row r="368" spans="1:21" ht="12.75">
      <c r="A368" s="2">
        <v>41065</v>
      </c>
      <c r="B368" s="8"/>
      <c r="C368" s="23"/>
      <c r="D368" s="16"/>
      <c r="E368" s="12"/>
      <c r="F368" s="12"/>
      <c r="G368" s="12"/>
      <c r="H368" s="12"/>
      <c r="I368" s="12"/>
      <c r="J368" s="39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3"/>
    </row>
    <row r="369" spans="1:21" ht="12.75">
      <c r="A369" s="2">
        <v>41066</v>
      </c>
      <c r="B369" s="8"/>
      <c r="C369" s="23"/>
      <c r="D369" s="16"/>
      <c r="E369" s="12"/>
      <c r="F369" s="12"/>
      <c r="G369" s="12"/>
      <c r="H369" s="12"/>
      <c r="I369" s="12"/>
      <c r="J369" s="39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3"/>
    </row>
    <row r="370" spans="1:21" ht="12.75">
      <c r="A370" s="2">
        <v>41067</v>
      </c>
      <c r="B370" s="8"/>
      <c r="C370" s="23"/>
      <c r="D370" s="16"/>
      <c r="E370" s="12"/>
      <c r="F370" s="12"/>
      <c r="G370" s="12"/>
      <c r="H370" s="12"/>
      <c r="I370" s="12"/>
      <c r="J370" s="39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3"/>
    </row>
    <row r="371" spans="1:21" ht="12.75">
      <c r="A371" s="2">
        <v>41068</v>
      </c>
      <c r="B371" s="8"/>
      <c r="C371" s="23"/>
      <c r="D371" s="16"/>
      <c r="E371" s="12"/>
      <c r="F371" s="12"/>
      <c r="G371" s="12"/>
      <c r="H371" s="12"/>
      <c r="I371" s="12"/>
      <c r="J371" s="39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3"/>
    </row>
    <row r="372" spans="1:21" ht="12.75">
      <c r="A372" s="2">
        <v>41069</v>
      </c>
      <c r="B372" s="8"/>
      <c r="C372" s="23"/>
      <c r="D372" s="16"/>
      <c r="E372" s="12"/>
      <c r="F372" s="12"/>
      <c r="G372" s="12"/>
      <c r="H372" s="12"/>
      <c r="I372" s="12"/>
      <c r="J372" s="39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3"/>
    </row>
    <row r="373" spans="1:21" ht="12.75">
      <c r="A373" s="2">
        <v>41070</v>
      </c>
      <c r="B373" s="8"/>
      <c r="C373" s="23"/>
      <c r="D373" s="16"/>
      <c r="E373" s="12"/>
      <c r="F373" s="12"/>
      <c r="G373" s="12"/>
      <c r="H373" s="12"/>
      <c r="I373" s="12"/>
      <c r="J373" s="39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3"/>
    </row>
    <row r="374" spans="1:21" ht="12.75">
      <c r="A374" s="2">
        <v>41071</v>
      </c>
      <c r="B374" s="8"/>
      <c r="C374" s="23"/>
      <c r="D374" s="16"/>
      <c r="E374" s="12"/>
      <c r="F374" s="12"/>
      <c r="G374" s="12"/>
      <c r="H374" s="12"/>
      <c r="I374" s="12"/>
      <c r="J374" s="39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3"/>
    </row>
    <row r="375" spans="1:21" ht="12.75">
      <c r="A375" s="2">
        <v>41072</v>
      </c>
      <c r="B375" s="8"/>
      <c r="C375" s="23"/>
      <c r="D375" s="16"/>
      <c r="E375" s="12"/>
      <c r="F375" s="12"/>
      <c r="G375" s="12"/>
      <c r="H375" s="12"/>
      <c r="I375" s="12"/>
      <c r="J375" s="39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3"/>
    </row>
    <row r="376" spans="1:21" ht="12.75">
      <c r="A376" s="2">
        <v>41073</v>
      </c>
      <c r="B376" s="8"/>
      <c r="C376" s="23"/>
      <c r="D376" s="16"/>
      <c r="E376" s="12"/>
      <c r="F376" s="12"/>
      <c r="G376" s="12"/>
      <c r="H376" s="12"/>
      <c r="I376" s="12"/>
      <c r="J376" s="39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3"/>
    </row>
    <row r="377" spans="1:21" ht="12.75">
      <c r="A377" s="2">
        <v>41074</v>
      </c>
      <c r="B377" s="8"/>
      <c r="C377" s="23"/>
      <c r="D377" s="16"/>
      <c r="E377" s="12"/>
      <c r="F377" s="12"/>
      <c r="G377" s="12"/>
      <c r="H377" s="12"/>
      <c r="I377" s="12"/>
      <c r="J377" s="39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3"/>
    </row>
    <row r="378" spans="1:21" ht="12.75">
      <c r="A378" s="2">
        <v>41075</v>
      </c>
      <c r="B378" s="8"/>
      <c r="C378" s="23"/>
      <c r="D378" s="16"/>
      <c r="E378" s="12"/>
      <c r="F378" s="12"/>
      <c r="G378" s="12"/>
      <c r="H378" s="12"/>
      <c r="I378" s="12"/>
      <c r="J378" s="39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3"/>
    </row>
    <row r="379" spans="1:21" ht="12.75">
      <c r="A379" s="2">
        <v>41076</v>
      </c>
      <c r="B379" s="8"/>
      <c r="C379" s="23"/>
      <c r="D379" s="16"/>
      <c r="E379" s="12"/>
      <c r="F379" s="12"/>
      <c r="G379" s="12"/>
      <c r="H379" s="12"/>
      <c r="I379" s="12"/>
      <c r="J379" s="39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3"/>
    </row>
    <row r="380" spans="1:21" ht="12.75">
      <c r="A380" s="2">
        <v>41077</v>
      </c>
      <c r="B380" s="8"/>
      <c r="C380" s="23"/>
      <c r="D380" s="16"/>
      <c r="E380" s="12"/>
      <c r="F380" s="12"/>
      <c r="G380" s="12"/>
      <c r="H380" s="12"/>
      <c r="I380" s="12"/>
      <c r="J380" s="39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3"/>
    </row>
    <row r="381" spans="1:21" ht="12.75">
      <c r="A381" s="2">
        <v>41078</v>
      </c>
      <c r="B381" s="8"/>
      <c r="C381" s="23"/>
      <c r="D381" s="16"/>
      <c r="E381" s="12"/>
      <c r="F381" s="12"/>
      <c r="G381" s="12"/>
      <c r="H381" s="12"/>
      <c r="I381" s="12"/>
      <c r="J381" s="39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3"/>
    </row>
    <row r="382" spans="1:21" ht="12.75">
      <c r="A382" s="2">
        <v>41079</v>
      </c>
      <c r="B382" s="8"/>
      <c r="C382" s="23"/>
      <c r="D382" s="16"/>
      <c r="E382" s="12"/>
      <c r="F382" s="12"/>
      <c r="G382" s="12"/>
      <c r="H382" s="12"/>
      <c r="I382" s="12"/>
      <c r="J382" s="39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3"/>
    </row>
    <row r="383" spans="1:21" ht="12.75">
      <c r="A383" s="2">
        <v>41080</v>
      </c>
      <c r="B383" s="8"/>
      <c r="C383" s="23"/>
      <c r="D383" s="16"/>
      <c r="E383" s="12"/>
      <c r="F383" s="12"/>
      <c r="G383" s="12"/>
      <c r="H383" s="12"/>
      <c r="I383" s="12"/>
      <c r="J383" s="39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3"/>
    </row>
    <row r="384" spans="1:21" ht="12.75">
      <c r="A384" s="2">
        <v>41081</v>
      </c>
      <c r="B384" s="8"/>
      <c r="C384" s="23"/>
      <c r="D384" s="16"/>
      <c r="E384" s="12"/>
      <c r="F384" s="12"/>
      <c r="G384" s="12"/>
      <c r="H384" s="12"/>
      <c r="I384" s="12"/>
      <c r="J384" s="39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3"/>
    </row>
    <row r="385" spans="1:21" ht="12.75">
      <c r="A385" s="2">
        <v>41082</v>
      </c>
      <c r="B385" s="8"/>
      <c r="C385" s="23"/>
      <c r="D385" s="16"/>
      <c r="E385" s="12"/>
      <c r="F385" s="12"/>
      <c r="G385" s="12"/>
      <c r="H385" s="12"/>
      <c r="I385" s="12"/>
      <c r="J385" s="39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3"/>
    </row>
    <row r="386" spans="1:21" ht="12.75">
      <c r="A386" s="2">
        <v>41083</v>
      </c>
      <c r="B386" s="8"/>
      <c r="C386" s="23"/>
      <c r="D386" s="16"/>
      <c r="E386" s="12"/>
      <c r="F386" s="12"/>
      <c r="G386" s="12"/>
      <c r="H386" s="12"/>
      <c r="I386" s="12"/>
      <c r="J386" s="39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3"/>
    </row>
    <row r="387" spans="1:21" ht="12.75">
      <c r="A387" s="2">
        <v>41084</v>
      </c>
      <c r="B387" s="8"/>
      <c r="C387" s="23"/>
      <c r="D387" s="16"/>
      <c r="E387" s="12"/>
      <c r="F387" s="12"/>
      <c r="G387" s="12"/>
      <c r="H387" s="12"/>
      <c r="I387" s="12"/>
      <c r="J387" s="39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3"/>
    </row>
    <row r="388" spans="1:21" ht="12.75">
      <c r="A388" s="2">
        <v>41085</v>
      </c>
      <c r="B388" s="8"/>
      <c r="C388" s="23"/>
      <c r="D388" s="16"/>
      <c r="E388" s="12"/>
      <c r="F388" s="12"/>
      <c r="G388" s="12"/>
      <c r="H388" s="12"/>
      <c r="I388" s="12"/>
      <c r="J388" s="39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3"/>
    </row>
    <row r="389" spans="1:21" ht="12.75">
      <c r="A389" s="2">
        <v>41086</v>
      </c>
      <c r="B389" s="8"/>
      <c r="C389" s="23"/>
      <c r="D389" s="16"/>
      <c r="E389" s="12"/>
      <c r="F389" s="12"/>
      <c r="G389" s="12"/>
      <c r="H389" s="12"/>
      <c r="I389" s="12"/>
      <c r="J389" s="39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3"/>
    </row>
    <row r="390" spans="1:21" ht="12.75">
      <c r="A390" s="2">
        <v>41087</v>
      </c>
      <c r="B390" s="8"/>
      <c r="C390" s="23"/>
      <c r="D390" s="16"/>
      <c r="E390" s="12"/>
      <c r="F390" s="12"/>
      <c r="G390" s="12"/>
      <c r="H390" s="12"/>
      <c r="I390" s="12"/>
      <c r="J390" s="39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3"/>
    </row>
    <row r="391" spans="1:21" ht="12.75">
      <c r="A391" s="2">
        <v>41088</v>
      </c>
      <c r="B391" s="8"/>
      <c r="C391" s="23"/>
      <c r="D391" s="16"/>
      <c r="E391" s="12"/>
      <c r="F391" s="12"/>
      <c r="G391" s="12"/>
      <c r="H391" s="12"/>
      <c r="I391" s="12"/>
      <c r="J391" s="39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3"/>
    </row>
    <row r="392" spans="1:21" ht="12.75">
      <c r="A392" s="2">
        <v>41089</v>
      </c>
      <c r="B392" s="8"/>
      <c r="C392" s="23"/>
      <c r="D392" s="16"/>
      <c r="E392" s="12"/>
      <c r="F392" s="12"/>
      <c r="G392" s="12"/>
      <c r="H392" s="12"/>
      <c r="I392" s="12"/>
      <c r="J392" s="39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3"/>
    </row>
    <row r="393" spans="1:21" ht="13.5" thickBot="1">
      <c r="A393" s="2">
        <v>41090</v>
      </c>
      <c r="B393" s="8"/>
      <c r="C393" s="23"/>
      <c r="D393" s="16"/>
      <c r="E393" s="12"/>
      <c r="F393" s="12"/>
      <c r="G393" s="12"/>
      <c r="H393" s="12"/>
      <c r="I393" s="12"/>
      <c r="J393" s="39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3"/>
    </row>
    <row r="394" spans="1:21" ht="13.5" thickBot="1">
      <c r="A394" s="4" t="s">
        <v>143</v>
      </c>
      <c r="B394" s="20"/>
      <c r="C394" s="27">
        <f>SUM(C363:C393)</f>
        <v>0</v>
      </c>
      <c r="D394" s="27"/>
      <c r="E394" s="31">
        <f aca="true" t="shared" si="20" ref="E394:T394">SUM(E363:E393)</f>
        <v>0</v>
      </c>
      <c r="F394" s="31">
        <f t="shared" si="20"/>
        <v>0</v>
      </c>
      <c r="G394" s="31">
        <f t="shared" si="20"/>
        <v>0</v>
      </c>
      <c r="H394" s="31">
        <f t="shared" si="20"/>
        <v>0</v>
      </c>
      <c r="I394" s="31">
        <f t="shared" si="20"/>
        <v>0</v>
      </c>
      <c r="J394" s="40">
        <f t="shared" si="20"/>
        <v>0</v>
      </c>
      <c r="K394" s="31">
        <f t="shared" si="20"/>
        <v>0</v>
      </c>
      <c r="L394" s="31">
        <f t="shared" si="20"/>
        <v>0</v>
      </c>
      <c r="M394" s="31">
        <f t="shared" si="20"/>
        <v>0</v>
      </c>
      <c r="N394" s="31">
        <f t="shared" si="20"/>
        <v>0</v>
      </c>
      <c r="O394" s="31">
        <f t="shared" si="20"/>
        <v>0</v>
      </c>
      <c r="P394" s="31">
        <f t="shared" si="20"/>
        <v>0</v>
      </c>
      <c r="Q394" s="31">
        <f t="shared" si="20"/>
        <v>0</v>
      </c>
      <c r="R394" s="31">
        <f>SUM(R363:R393)</f>
        <v>0</v>
      </c>
      <c r="S394" s="31">
        <f>SUM(S363:S393)</f>
        <v>0</v>
      </c>
      <c r="T394" s="31">
        <f t="shared" si="20"/>
        <v>0</v>
      </c>
      <c r="U394" s="30">
        <f>SUM(E394:T394)-J394</f>
        <v>0</v>
      </c>
    </row>
    <row r="395" spans="1:21" ht="13.5" thickBot="1">
      <c r="A395" s="4" t="s">
        <v>144</v>
      </c>
      <c r="B395" s="20"/>
      <c r="C395" s="27">
        <f>C394+C359</f>
        <v>3450.3203535199996</v>
      </c>
      <c r="D395" s="27">
        <f>D394+D359</f>
        <v>808.9000000000001</v>
      </c>
      <c r="E395" s="31">
        <f>E394+E359</f>
        <v>4742.130000000001</v>
      </c>
      <c r="F395" s="31">
        <f aca="true" t="shared" si="21" ref="F395:T395">F394+F359</f>
        <v>395.76</v>
      </c>
      <c r="G395" s="31">
        <f t="shared" si="21"/>
        <v>2512.7733333333335</v>
      </c>
      <c r="H395" s="31">
        <f t="shared" si="21"/>
        <v>3210.6500000000005</v>
      </c>
      <c r="I395" s="31">
        <f t="shared" si="21"/>
        <v>1477.72</v>
      </c>
      <c r="J395" s="40">
        <f t="shared" si="21"/>
        <v>315.74908137097833</v>
      </c>
      <c r="K395" s="31">
        <f t="shared" si="21"/>
        <v>124.97000000000001</v>
      </c>
      <c r="L395" s="31">
        <f t="shared" si="21"/>
        <v>45</v>
      </c>
      <c r="M395" s="31">
        <f t="shared" si="21"/>
        <v>4335.88</v>
      </c>
      <c r="N395" s="31">
        <f t="shared" si="21"/>
        <v>336.17</v>
      </c>
      <c r="O395" s="31">
        <f t="shared" si="21"/>
        <v>0</v>
      </c>
      <c r="P395" s="31">
        <f t="shared" si="21"/>
        <v>4143.32</v>
      </c>
      <c r="Q395" s="31">
        <f t="shared" si="21"/>
        <v>1204.5</v>
      </c>
      <c r="R395" s="31">
        <f>R394+R359</f>
        <v>410.25</v>
      </c>
      <c r="S395" s="31">
        <f>S394+S359</f>
        <v>58.64</v>
      </c>
      <c r="T395" s="31">
        <f t="shared" si="21"/>
        <v>2482.6700000000005</v>
      </c>
      <c r="U395" s="30">
        <f>SUM(E395:T395)-J395</f>
        <v>25480.433333333334</v>
      </c>
    </row>
    <row r="396" ht="13.5" thickBot="1">
      <c r="A396" s="2"/>
    </row>
    <row r="397" ht="13.5" thickBot="1">
      <c r="A397" s="4" t="s">
        <v>20</v>
      </c>
    </row>
    <row r="398" ht="12.75">
      <c r="A398" s="2"/>
    </row>
    <row r="399" spans="1:21" ht="12.75">
      <c r="A399" s="2">
        <v>41091</v>
      </c>
      <c r="B399" s="8"/>
      <c r="C399" s="23"/>
      <c r="D399" s="16"/>
      <c r="E399" s="12"/>
      <c r="F399" s="12"/>
      <c r="G399" s="12"/>
      <c r="H399" s="12"/>
      <c r="I399" s="12"/>
      <c r="J399" s="39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3"/>
    </row>
    <row r="400" spans="1:21" ht="12.75">
      <c r="A400" s="2">
        <v>41092</v>
      </c>
      <c r="B400" s="8"/>
      <c r="C400" s="23"/>
      <c r="D400" s="16"/>
      <c r="E400" s="12"/>
      <c r="F400" s="12"/>
      <c r="G400" s="12"/>
      <c r="H400" s="12"/>
      <c r="I400" s="12"/>
      <c r="J400" s="39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3"/>
    </row>
    <row r="401" spans="1:21" ht="12.75">
      <c r="A401" s="2">
        <v>41093</v>
      </c>
      <c r="B401" s="8"/>
      <c r="C401" s="23"/>
      <c r="D401" s="16"/>
      <c r="E401" s="12"/>
      <c r="F401" s="12"/>
      <c r="G401" s="12"/>
      <c r="H401" s="12"/>
      <c r="I401" s="12"/>
      <c r="J401" s="39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3"/>
    </row>
    <row r="402" spans="1:21" ht="12.75">
      <c r="A402" s="2">
        <v>41094</v>
      </c>
      <c r="B402" s="8"/>
      <c r="C402" s="23"/>
      <c r="D402" s="16"/>
      <c r="E402" s="12"/>
      <c r="F402" s="12"/>
      <c r="G402" s="12"/>
      <c r="H402" s="12"/>
      <c r="I402" s="12"/>
      <c r="J402" s="39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3"/>
    </row>
    <row r="403" spans="1:21" ht="12.75">
      <c r="A403" s="2">
        <v>41095</v>
      </c>
      <c r="B403" s="8"/>
      <c r="C403" s="23"/>
      <c r="D403" s="16"/>
      <c r="E403" s="12"/>
      <c r="F403" s="12"/>
      <c r="G403" s="12"/>
      <c r="H403" s="12"/>
      <c r="I403" s="12"/>
      <c r="J403" s="39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3"/>
    </row>
    <row r="404" spans="1:21" ht="12.75">
      <c r="A404" s="2">
        <v>41096</v>
      </c>
      <c r="B404" s="8"/>
      <c r="C404" s="23"/>
      <c r="D404" s="16"/>
      <c r="E404" s="12"/>
      <c r="F404" s="12"/>
      <c r="G404" s="12"/>
      <c r="H404" s="12"/>
      <c r="I404" s="12"/>
      <c r="J404" s="39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3"/>
    </row>
    <row r="405" spans="1:21" ht="12.75">
      <c r="A405" s="2">
        <v>41097</v>
      </c>
      <c r="B405" s="8"/>
      <c r="C405" s="23"/>
      <c r="D405" s="16"/>
      <c r="E405" s="12"/>
      <c r="F405" s="12"/>
      <c r="G405" s="12"/>
      <c r="H405" s="12"/>
      <c r="I405" s="12"/>
      <c r="J405" s="39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3"/>
    </row>
    <row r="406" spans="1:21" ht="12.75">
      <c r="A406" s="2">
        <v>41098</v>
      </c>
      <c r="B406" s="8"/>
      <c r="C406" s="23"/>
      <c r="D406" s="16"/>
      <c r="E406" s="12"/>
      <c r="F406" s="12"/>
      <c r="G406" s="12"/>
      <c r="H406" s="12"/>
      <c r="I406" s="12"/>
      <c r="J406" s="39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3"/>
    </row>
    <row r="407" spans="1:21" ht="12.75">
      <c r="A407" s="2">
        <v>41099</v>
      </c>
      <c r="B407" s="8"/>
      <c r="C407" s="23"/>
      <c r="D407" s="16"/>
      <c r="E407" s="12"/>
      <c r="F407" s="12"/>
      <c r="G407" s="12"/>
      <c r="H407" s="12"/>
      <c r="I407" s="12"/>
      <c r="J407" s="39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3"/>
    </row>
    <row r="408" spans="1:21" ht="12.75">
      <c r="A408" s="2">
        <v>41100</v>
      </c>
      <c r="B408" s="8"/>
      <c r="C408" s="23"/>
      <c r="D408" s="16"/>
      <c r="E408" s="12"/>
      <c r="F408" s="12"/>
      <c r="G408" s="12"/>
      <c r="H408" s="12"/>
      <c r="I408" s="12"/>
      <c r="J408" s="39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3"/>
    </row>
    <row r="409" spans="1:21" ht="12.75">
      <c r="A409" s="2">
        <v>41101</v>
      </c>
      <c r="B409" s="8"/>
      <c r="C409" s="23"/>
      <c r="D409" s="16"/>
      <c r="E409" s="12"/>
      <c r="F409" s="12"/>
      <c r="G409" s="12"/>
      <c r="H409" s="12"/>
      <c r="I409" s="12"/>
      <c r="J409" s="39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3"/>
    </row>
    <row r="410" spans="1:21" ht="12.75">
      <c r="A410" s="2">
        <v>41102</v>
      </c>
      <c r="B410" s="8"/>
      <c r="C410" s="23"/>
      <c r="D410" s="16"/>
      <c r="E410" s="12"/>
      <c r="F410" s="12"/>
      <c r="G410" s="12"/>
      <c r="H410" s="12"/>
      <c r="I410" s="12"/>
      <c r="J410" s="39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3"/>
    </row>
    <row r="411" spans="1:21" ht="12.75">
      <c r="A411" s="2">
        <v>41103</v>
      </c>
      <c r="B411" s="8"/>
      <c r="C411" s="23"/>
      <c r="D411" s="16"/>
      <c r="E411" s="12"/>
      <c r="F411" s="12"/>
      <c r="G411" s="12"/>
      <c r="H411" s="12"/>
      <c r="I411" s="12"/>
      <c r="J411" s="39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3"/>
    </row>
    <row r="412" spans="1:21" ht="12.75">
      <c r="A412" s="2">
        <v>41104</v>
      </c>
      <c r="B412" s="8"/>
      <c r="C412" s="23"/>
      <c r="D412" s="16"/>
      <c r="E412" s="12"/>
      <c r="F412" s="12"/>
      <c r="G412" s="12"/>
      <c r="H412" s="12"/>
      <c r="I412" s="12"/>
      <c r="J412" s="39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3"/>
    </row>
    <row r="413" spans="1:21" ht="12.75">
      <c r="A413" s="2">
        <v>41105</v>
      </c>
      <c r="B413" s="8"/>
      <c r="C413" s="23"/>
      <c r="D413" s="16"/>
      <c r="E413" s="12"/>
      <c r="F413" s="12"/>
      <c r="G413" s="12"/>
      <c r="H413" s="12"/>
      <c r="I413" s="12"/>
      <c r="J413" s="39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3"/>
    </row>
    <row r="414" spans="1:21" ht="12.75">
      <c r="A414" s="2">
        <v>41106</v>
      </c>
      <c r="B414" s="8"/>
      <c r="C414" s="23"/>
      <c r="D414" s="16"/>
      <c r="E414" s="12"/>
      <c r="F414" s="12"/>
      <c r="G414" s="12"/>
      <c r="H414" s="12"/>
      <c r="I414" s="12"/>
      <c r="J414" s="39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3"/>
    </row>
    <row r="415" spans="1:21" ht="12.75">
      <c r="A415" s="2">
        <v>41107</v>
      </c>
      <c r="B415" s="8"/>
      <c r="C415" s="23"/>
      <c r="D415" s="16"/>
      <c r="E415" s="12"/>
      <c r="F415" s="12"/>
      <c r="G415" s="12"/>
      <c r="H415" s="12"/>
      <c r="I415" s="12"/>
      <c r="J415" s="39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3"/>
    </row>
    <row r="416" spans="1:21" ht="12.75">
      <c r="A416" s="2">
        <v>41108</v>
      </c>
      <c r="B416" s="8"/>
      <c r="C416" s="23"/>
      <c r="D416" s="16"/>
      <c r="E416" s="12"/>
      <c r="F416" s="12"/>
      <c r="G416" s="12"/>
      <c r="H416" s="12"/>
      <c r="I416" s="12"/>
      <c r="J416" s="39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3"/>
    </row>
    <row r="417" spans="1:21" ht="12.75">
      <c r="A417" s="2">
        <v>41109</v>
      </c>
      <c r="B417" s="8"/>
      <c r="C417" s="23"/>
      <c r="D417" s="16"/>
      <c r="E417" s="12"/>
      <c r="F417" s="12"/>
      <c r="G417" s="12"/>
      <c r="H417" s="12"/>
      <c r="I417" s="12"/>
      <c r="J417" s="39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3"/>
    </row>
    <row r="418" spans="1:21" ht="12.75">
      <c r="A418" s="2">
        <v>41110</v>
      </c>
      <c r="B418" s="8"/>
      <c r="C418" s="23"/>
      <c r="D418" s="16"/>
      <c r="E418" s="12"/>
      <c r="F418" s="12"/>
      <c r="G418" s="12"/>
      <c r="H418" s="12"/>
      <c r="I418" s="12"/>
      <c r="J418" s="39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3"/>
    </row>
    <row r="419" spans="1:21" ht="12.75">
      <c r="A419" s="2">
        <v>41111</v>
      </c>
      <c r="B419" s="8"/>
      <c r="C419" s="23"/>
      <c r="D419" s="16"/>
      <c r="E419" s="12"/>
      <c r="F419" s="12"/>
      <c r="G419" s="12"/>
      <c r="H419" s="12"/>
      <c r="I419" s="12"/>
      <c r="J419" s="39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3"/>
    </row>
    <row r="420" spans="1:21" ht="12.75">
      <c r="A420" s="2">
        <v>41112</v>
      </c>
      <c r="B420" s="8"/>
      <c r="C420" s="23"/>
      <c r="D420" s="16"/>
      <c r="E420" s="12"/>
      <c r="F420" s="12"/>
      <c r="G420" s="12"/>
      <c r="H420" s="12"/>
      <c r="I420" s="12"/>
      <c r="J420" s="39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3"/>
    </row>
    <row r="421" spans="1:21" ht="12.75">
      <c r="A421" s="2">
        <v>41113</v>
      </c>
      <c r="B421" s="8"/>
      <c r="C421" s="23"/>
      <c r="D421" s="16"/>
      <c r="E421" s="12"/>
      <c r="F421" s="12"/>
      <c r="G421" s="12"/>
      <c r="H421" s="12"/>
      <c r="I421" s="12"/>
      <c r="J421" s="39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3"/>
    </row>
    <row r="422" spans="1:21" ht="12.75">
      <c r="A422" s="2">
        <v>41114</v>
      </c>
      <c r="B422" s="8"/>
      <c r="C422" s="23"/>
      <c r="D422" s="16"/>
      <c r="E422" s="12"/>
      <c r="F422" s="12"/>
      <c r="G422" s="12"/>
      <c r="H422" s="12"/>
      <c r="I422" s="12"/>
      <c r="J422" s="39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3"/>
    </row>
    <row r="423" spans="1:21" ht="12.75">
      <c r="A423" s="2">
        <v>41115</v>
      </c>
      <c r="B423" s="8"/>
      <c r="C423" s="23"/>
      <c r="D423" s="16"/>
      <c r="E423" s="12"/>
      <c r="F423" s="12"/>
      <c r="G423" s="12"/>
      <c r="H423" s="12"/>
      <c r="I423" s="12"/>
      <c r="J423" s="39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3"/>
    </row>
    <row r="424" spans="1:21" ht="12.75">
      <c r="A424" s="2">
        <v>41116</v>
      </c>
      <c r="B424" s="8"/>
      <c r="C424" s="23"/>
      <c r="D424" s="16"/>
      <c r="E424" s="12"/>
      <c r="F424" s="12"/>
      <c r="G424" s="12"/>
      <c r="H424" s="12"/>
      <c r="I424" s="12"/>
      <c r="J424" s="39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3"/>
    </row>
    <row r="425" spans="1:21" ht="12.75">
      <c r="A425" s="2">
        <v>41117</v>
      </c>
      <c r="B425" s="8"/>
      <c r="C425" s="23"/>
      <c r="D425" s="16"/>
      <c r="E425" s="12"/>
      <c r="F425" s="12"/>
      <c r="G425" s="12"/>
      <c r="H425" s="12"/>
      <c r="I425" s="12"/>
      <c r="J425" s="39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3"/>
    </row>
    <row r="426" spans="1:21" ht="12.75">
      <c r="A426" s="2">
        <v>41118</v>
      </c>
      <c r="B426" s="8"/>
      <c r="C426" s="23"/>
      <c r="D426" s="16"/>
      <c r="E426" s="12"/>
      <c r="F426" s="12"/>
      <c r="G426" s="12"/>
      <c r="H426" s="12"/>
      <c r="I426" s="12"/>
      <c r="J426" s="39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3"/>
    </row>
    <row r="427" spans="1:21" ht="12.75">
      <c r="A427" s="2">
        <v>41119</v>
      </c>
      <c r="B427" s="8"/>
      <c r="C427" s="23"/>
      <c r="D427" s="16"/>
      <c r="E427" s="12"/>
      <c r="F427" s="12"/>
      <c r="G427" s="12"/>
      <c r="H427" s="12"/>
      <c r="I427" s="12"/>
      <c r="J427" s="39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3"/>
    </row>
    <row r="428" spans="1:21" ht="12.75">
      <c r="A428" s="2">
        <v>41120</v>
      </c>
      <c r="B428" s="8"/>
      <c r="C428" s="23"/>
      <c r="D428" s="16"/>
      <c r="E428" s="12"/>
      <c r="F428" s="12"/>
      <c r="G428" s="12"/>
      <c r="H428" s="12"/>
      <c r="I428" s="12"/>
      <c r="J428" s="39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3"/>
    </row>
    <row r="429" spans="1:21" ht="13.5" thickBot="1">
      <c r="A429" s="2">
        <v>41121</v>
      </c>
      <c r="B429" s="8"/>
      <c r="C429" s="23"/>
      <c r="D429" s="16"/>
      <c r="E429" s="12"/>
      <c r="F429" s="12"/>
      <c r="G429" s="12"/>
      <c r="H429" s="12"/>
      <c r="I429" s="12"/>
      <c r="J429" s="39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3"/>
    </row>
    <row r="430" spans="1:21" ht="13.5" thickBot="1">
      <c r="A430" s="4" t="s">
        <v>143</v>
      </c>
      <c r="B430" s="20"/>
      <c r="C430" s="27">
        <f>SUM(C399:C429)</f>
        <v>0</v>
      </c>
      <c r="D430" s="27"/>
      <c r="E430" s="31">
        <f aca="true" t="shared" si="22" ref="E430:T430">SUM(E399:E429)</f>
        <v>0</v>
      </c>
      <c r="F430" s="31">
        <f t="shared" si="22"/>
        <v>0</v>
      </c>
      <c r="G430" s="31">
        <f t="shared" si="22"/>
        <v>0</v>
      </c>
      <c r="H430" s="31">
        <f t="shared" si="22"/>
        <v>0</v>
      </c>
      <c r="I430" s="31">
        <f t="shared" si="22"/>
        <v>0</v>
      </c>
      <c r="J430" s="40">
        <f t="shared" si="22"/>
        <v>0</v>
      </c>
      <c r="K430" s="31">
        <f t="shared" si="22"/>
        <v>0</v>
      </c>
      <c r="L430" s="31">
        <f t="shared" si="22"/>
        <v>0</v>
      </c>
      <c r="M430" s="31">
        <f t="shared" si="22"/>
        <v>0</v>
      </c>
      <c r="N430" s="31">
        <f t="shared" si="22"/>
        <v>0</v>
      </c>
      <c r="O430" s="31">
        <f t="shared" si="22"/>
        <v>0</v>
      </c>
      <c r="P430" s="31">
        <f t="shared" si="22"/>
        <v>0</v>
      </c>
      <c r="Q430" s="31">
        <f t="shared" si="22"/>
        <v>0</v>
      </c>
      <c r="R430" s="31">
        <f>SUM(R399:R429)</f>
        <v>0</v>
      </c>
      <c r="S430" s="31">
        <f>SUM(S399:S429)</f>
        <v>0</v>
      </c>
      <c r="T430" s="31">
        <f t="shared" si="22"/>
        <v>0</v>
      </c>
      <c r="U430" s="30">
        <f>SUM(E430:T430)-J430</f>
        <v>0</v>
      </c>
    </row>
    <row r="431" spans="1:21" ht="13.5" thickBot="1">
      <c r="A431" s="4" t="s">
        <v>144</v>
      </c>
      <c r="B431" s="20"/>
      <c r="C431" s="27">
        <f>C430+C395</f>
        <v>3450.3203535199996</v>
      </c>
      <c r="D431" s="27">
        <f>D430+D395</f>
        <v>808.9000000000001</v>
      </c>
      <c r="E431" s="31">
        <f>E430+E395</f>
        <v>4742.130000000001</v>
      </c>
      <c r="F431" s="31">
        <f aca="true" t="shared" si="23" ref="F431:T431">F430+F395</f>
        <v>395.76</v>
      </c>
      <c r="G431" s="31">
        <f t="shared" si="23"/>
        <v>2512.7733333333335</v>
      </c>
      <c r="H431" s="31">
        <f t="shared" si="23"/>
        <v>3210.6500000000005</v>
      </c>
      <c r="I431" s="31">
        <f t="shared" si="23"/>
        <v>1477.72</v>
      </c>
      <c r="J431" s="40">
        <f t="shared" si="23"/>
        <v>315.74908137097833</v>
      </c>
      <c r="K431" s="31">
        <f t="shared" si="23"/>
        <v>124.97000000000001</v>
      </c>
      <c r="L431" s="31">
        <f t="shared" si="23"/>
        <v>45</v>
      </c>
      <c r="M431" s="31">
        <f t="shared" si="23"/>
        <v>4335.88</v>
      </c>
      <c r="N431" s="31">
        <f t="shared" si="23"/>
        <v>336.17</v>
      </c>
      <c r="O431" s="31">
        <f t="shared" si="23"/>
        <v>0</v>
      </c>
      <c r="P431" s="31">
        <f t="shared" si="23"/>
        <v>4143.32</v>
      </c>
      <c r="Q431" s="31">
        <f t="shared" si="23"/>
        <v>1204.5</v>
      </c>
      <c r="R431" s="31">
        <f>R430+R395</f>
        <v>410.25</v>
      </c>
      <c r="S431" s="31">
        <f>S430+S395</f>
        <v>58.64</v>
      </c>
      <c r="T431" s="31">
        <f t="shared" si="23"/>
        <v>2482.6700000000005</v>
      </c>
      <c r="U431" s="30">
        <f>SUM(E431:T431)-J431</f>
        <v>25480.433333333334</v>
      </c>
    </row>
    <row r="432" ht="13.5" thickBot="1">
      <c r="A432" s="2"/>
    </row>
    <row r="433" ht="13.5" thickBot="1">
      <c r="A433" s="3" t="s">
        <v>9</v>
      </c>
    </row>
    <row r="434" ht="12.75">
      <c r="A434" s="2"/>
    </row>
    <row r="435" spans="1:21" ht="12.75">
      <c r="A435" s="2">
        <v>41122</v>
      </c>
      <c r="B435" s="8"/>
      <c r="C435" s="23"/>
      <c r="D435" s="16"/>
      <c r="E435" s="12"/>
      <c r="F435" s="12"/>
      <c r="G435" s="12"/>
      <c r="H435" s="12"/>
      <c r="I435" s="12"/>
      <c r="J435" s="39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3"/>
    </row>
    <row r="436" spans="1:21" ht="12.75">
      <c r="A436" s="2">
        <v>41123</v>
      </c>
      <c r="B436" s="8"/>
      <c r="C436" s="23"/>
      <c r="D436" s="16"/>
      <c r="E436" s="12"/>
      <c r="F436" s="12"/>
      <c r="G436" s="12"/>
      <c r="H436" s="12"/>
      <c r="I436" s="12"/>
      <c r="J436" s="39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3"/>
    </row>
    <row r="437" spans="1:21" ht="12.75">
      <c r="A437" s="2">
        <v>41124</v>
      </c>
      <c r="B437" s="8"/>
      <c r="C437" s="23"/>
      <c r="D437" s="16"/>
      <c r="E437" s="12"/>
      <c r="F437" s="12"/>
      <c r="G437" s="12"/>
      <c r="H437" s="12"/>
      <c r="I437" s="12"/>
      <c r="J437" s="39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3"/>
    </row>
    <row r="438" spans="1:21" ht="12.75">
      <c r="A438" s="2">
        <v>41125</v>
      </c>
      <c r="B438" s="8"/>
      <c r="C438" s="23"/>
      <c r="D438" s="16"/>
      <c r="E438" s="12"/>
      <c r="F438" s="12"/>
      <c r="G438" s="12"/>
      <c r="H438" s="12"/>
      <c r="I438" s="12"/>
      <c r="J438" s="39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3"/>
    </row>
    <row r="439" spans="1:21" ht="12.75">
      <c r="A439" s="2">
        <v>41126</v>
      </c>
      <c r="B439" s="8"/>
      <c r="C439" s="23"/>
      <c r="D439" s="16"/>
      <c r="E439" s="12"/>
      <c r="F439" s="12"/>
      <c r="G439" s="12"/>
      <c r="H439" s="12"/>
      <c r="I439" s="12"/>
      <c r="J439" s="39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3"/>
    </row>
    <row r="440" spans="1:21" ht="12.75">
      <c r="A440" s="2">
        <v>41127</v>
      </c>
      <c r="B440" s="8"/>
      <c r="C440" s="23"/>
      <c r="D440" s="16"/>
      <c r="E440" s="12"/>
      <c r="F440" s="12"/>
      <c r="G440" s="12"/>
      <c r="H440" s="12"/>
      <c r="I440" s="12"/>
      <c r="J440" s="39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3"/>
    </row>
    <row r="441" spans="1:21" ht="12.75">
      <c r="A441" s="2">
        <v>41128</v>
      </c>
      <c r="B441" s="8"/>
      <c r="C441" s="23"/>
      <c r="D441" s="16"/>
      <c r="E441" s="12"/>
      <c r="F441" s="12"/>
      <c r="G441" s="12"/>
      <c r="H441" s="12"/>
      <c r="I441" s="12"/>
      <c r="J441" s="39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3"/>
    </row>
    <row r="442" spans="1:21" ht="12.75">
      <c r="A442" s="2">
        <v>41129</v>
      </c>
      <c r="B442" s="8"/>
      <c r="C442" s="23"/>
      <c r="D442" s="16"/>
      <c r="E442" s="12"/>
      <c r="F442" s="12"/>
      <c r="G442" s="12"/>
      <c r="H442" s="12"/>
      <c r="I442" s="12"/>
      <c r="J442" s="39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3"/>
    </row>
    <row r="443" spans="1:21" ht="12.75">
      <c r="A443" s="2">
        <v>41130</v>
      </c>
      <c r="B443" s="8"/>
      <c r="C443" s="23"/>
      <c r="D443" s="16"/>
      <c r="E443" s="12"/>
      <c r="F443" s="12"/>
      <c r="G443" s="12"/>
      <c r="H443" s="12"/>
      <c r="I443" s="12"/>
      <c r="J443" s="39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3"/>
    </row>
    <row r="444" spans="1:21" ht="12.75">
      <c r="A444" s="2">
        <v>41131</v>
      </c>
      <c r="B444" s="8"/>
      <c r="C444" s="23"/>
      <c r="D444" s="16"/>
      <c r="E444" s="12"/>
      <c r="F444" s="12"/>
      <c r="G444" s="12"/>
      <c r="H444" s="12"/>
      <c r="I444" s="12"/>
      <c r="J444" s="39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3"/>
    </row>
    <row r="445" spans="1:21" ht="12.75">
      <c r="A445" s="2">
        <v>41132</v>
      </c>
      <c r="B445" s="8"/>
      <c r="C445" s="23"/>
      <c r="D445" s="16"/>
      <c r="E445" s="12"/>
      <c r="F445" s="12"/>
      <c r="G445" s="12"/>
      <c r="H445" s="12"/>
      <c r="I445" s="12"/>
      <c r="J445" s="39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3"/>
    </row>
    <row r="446" spans="1:21" ht="12.75">
      <c r="A446" s="2">
        <v>41133</v>
      </c>
      <c r="B446" s="8"/>
      <c r="C446" s="23"/>
      <c r="D446" s="16"/>
      <c r="E446" s="12"/>
      <c r="F446" s="12"/>
      <c r="G446" s="12"/>
      <c r="H446" s="12"/>
      <c r="I446" s="12"/>
      <c r="J446" s="39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3"/>
    </row>
    <row r="447" spans="1:21" ht="12.75">
      <c r="A447" s="2">
        <v>41134</v>
      </c>
      <c r="B447" s="8"/>
      <c r="C447" s="23"/>
      <c r="D447" s="16"/>
      <c r="E447" s="12"/>
      <c r="F447" s="12"/>
      <c r="G447" s="12"/>
      <c r="H447" s="12"/>
      <c r="I447" s="12"/>
      <c r="J447" s="39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3"/>
    </row>
    <row r="448" spans="1:21" ht="12.75">
      <c r="A448" s="2">
        <v>41135</v>
      </c>
      <c r="B448" s="8"/>
      <c r="C448" s="23"/>
      <c r="D448" s="16"/>
      <c r="E448" s="12"/>
      <c r="F448" s="12"/>
      <c r="G448" s="12"/>
      <c r="H448" s="12"/>
      <c r="I448" s="12"/>
      <c r="J448" s="39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3"/>
    </row>
    <row r="449" spans="1:21" ht="12.75">
      <c r="A449" s="2">
        <v>41136</v>
      </c>
      <c r="B449" s="8"/>
      <c r="C449" s="23"/>
      <c r="D449" s="16"/>
      <c r="E449" s="12"/>
      <c r="F449" s="12"/>
      <c r="G449" s="12"/>
      <c r="H449" s="12"/>
      <c r="I449" s="12"/>
      <c r="J449" s="39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3"/>
    </row>
    <row r="450" spans="1:21" ht="12.75">
      <c r="A450" s="2">
        <v>41137</v>
      </c>
      <c r="B450" s="8"/>
      <c r="C450" s="23"/>
      <c r="D450" s="16"/>
      <c r="E450" s="12"/>
      <c r="F450" s="12"/>
      <c r="G450" s="12"/>
      <c r="H450" s="12"/>
      <c r="I450" s="12"/>
      <c r="J450" s="39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3"/>
    </row>
    <row r="451" spans="1:21" ht="12.75">
      <c r="A451" s="2">
        <v>41138</v>
      </c>
      <c r="B451" s="8"/>
      <c r="C451" s="23"/>
      <c r="D451" s="16"/>
      <c r="E451" s="12"/>
      <c r="F451" s="12"/>
      <c r="G451" s="12"/>
      <c r="H451" s="12"/>
      <c r="I451" s="12"/>
      <c r="J451" s="39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3"/>
    </row>
    <row r="452" spans="1:21" ht="12.75">
      <c r="A452" s="2">
        <v>41139</v>
      </c>
      <c r="B452" s="8"/>
      <c r="C452" s="23"/>
      <c r="D452" s="16"/>
      <c r="E452" s="12"/>
      <c r="F452" s="12"/>
      <c r="G452" s="12"/>
      <c r="H452" s="12"/>
      <c r="I452" s="12"/>
      <c r="J452" s="39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3"/>
    </row>
    <row r="453" spans="1:21" ht="12.75">
      <c r="A453" s="2">
        <v>41140</v>
      </c>
      <c r="B453" s="8"/>
      <c r="C453" s="23"/>
      <c r="D453" s="16"/>
      <c r="E453" s="12"/>
      <c r="F453" s="12"/>
      <c r="G453" s="12"/>
      <c r="H453" s="12"/>
      <c r="I453" s="12"/>
      <c r="J453" s="39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3"/>
    </row>
    <row r="454" spans="1:21" ht="12.75">
      <c r="A454" s="2">
        <v>41141</v>
      </c>
      <c r="B454" s="8"/>
      <c r="C454" s="23"/>
      <c r="D454" s="16"/>
      <c r="E454" s="12"/>
      <c r="F454" s="12"/>
      <c r="G454" s="12"/>
      <c r="H454" s="12"/>
      <c r="I454" s="12"/>
      <c r="J454" s="39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3"/>
    </row>
    <row r="455" spans="1:21" ht="12.75">
      <c r="A455" s="2">
        <v>41142</v>
      </c>
      <c r="B455" s="8"/>
      <c r="C455" s="23"/>
      <c r="D455" s="16"/>
      <c r="E455" s="12"/>
      <c r="F455" s="12"/>
      <c r="G455" s="12"/>
      <c r="H455" s="12"/>
      <c r="I455" s="12"/>
      <c r="J455" s="39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3"/>
    </row>
    <row r="456" spans="1:21" ht="12.75">
      <c r="A456" s="2">
        <v>41143</v>
      </c>
      <c r="B456" s="8"/>
      <c r="C456" s="23"/>
      <c r="D456" s="16"/>
      <c r="E456" s="12"/>
      <c r="F456" s="12"/>
      <c r="G456" s="12"/>
      <c r="H456" s="12"/>
      <c r="I456" s="12"/>
      <c r="J456" s="39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3"/>
    </row>
    <row r="457" spans="1:21" ht="12.75">
      <c r="A457" s="2">
        <v>41144</v>
      </c>
      <c r="B457" s="8"/>
      <c r="C457" s="23"/>
      <c r="D457" s="16"/>
      <c r="E457" s="12"/>
      <c r="F457" s="12"/>
      <c r="G457" s="12"/>
      <c r="H457" s="12"/>
      <c r="I457" s="12"/>
      <c r="J457" s="39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3"/>
    </row>
    <row r="458" spans="1:21" ht="12.75">
      <c r="A458" s="2">
        <v>41145</v>
      </c>
      <c r="B458" s="8"/>
      <c r="C458" s="23"/>
      <c r="D458" s="16"/>
      <c r="E458" s="12"/>
      <c r="F458" s="12"/>
      <c r="G458" s="12"/>
      <c r="H458" s="12"/>
      <c r="I458" s="12"/>
      <c r="J458" s="39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3"/>
    </row>
    <row r="459" spans="1:21" ht="12.75">
      <c r="A459" s="2">
        <v>41146</v>
      </c>
      <c r="B459" s="8"/>
      <c r="C459" s="23"/>
      <c r="D459" s="16"/>
      <c r="E459" s="12"/>
      <c r="F459" s="12"/>
      <c r="G459" s="12"/>
      <c r="H459" s="12"/>
      <c r="I459" s="12"/>
      <c r="J459" s="39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3"/>
    </row>
    <row r="460" spans="1:21" ht="12.75">
      <c r="A460" s="2">
        <v>41147</v>
      </c>
      <c r="B460" s="8"/>
      <c r="C460" s="23"/>
      <c r="D460" s="16"/>
      <c r="E460" s="12"/>
      <c r="F460" s="12"/>
      <c r="G460" s="12"/>
      <c r="H460" s="12"/>
      <c r="I460" s="12"/>
      <c r="J460" s="39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3"/>
    </row>
    <row r="461" spans="1:21" ht="12.75">
      <c r="A461" s="2">
        <v>41148</v>
      </c>
      <c r="B461" s="8"/>
      <c r="C461" s="23"/>
      <c r="D461" s="16"/>
      <c r="E461" s="12"/>
      <c r="F461" s="12"/>
      <c r="G461" s="12"/>
      <c r="H461" s="12"/>
      <c r="I461" s="12"/>
      <c r="J461" s="39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3"/>
    </row>
    <row r="462" spans="1:21" ht="12.75">
      <c r="A462" s="2">
        <v>41149</v>
      </c>
      <c r="B462" s="8"/>
      <c r="C462" s="23"/>
      <c r="D462" s="16"/>
      <c r="E462" s="12"/>
      <c r="F462" s="12"/>
      <c r="G462" s="12"/>
      <c r="H462" s="12"/>
      <c r="I462" s="12"/>
      <c r="J462" s="39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3"/>
    </row>
    <row r="463" spans="1:21" ht="12.75">
      <c r="A463" s="2">
        <v>41150</v>
      </c>
      <c r="B463" s="8"/>
      <c r="C463" s="23"/>
      <c r="D463" s="16"/>
      <c r="E463" s="12"/>
      <c r="F463" s="12"/>
      <c r="G463" s="12"/>
      <c r="H463" s="12"/>
      <c r="I463" s="12"/>
      <c r="J463" s="39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3"/>
    </row>
    <row r="464" spans="1:21" ht="12.75">
      <c r="A464" s="2">
        <v>41151</v>
      </c>
      <c r="B464" s="8"/>
      <c r="C464" s="23"/>
      <c r="D464" s="16"/>
      <c r="E464" s="12"/>
      <c r="F464" s="12"/>
      <c r="G464" s="12"/>
      <c r="H464" s="12"/>
      <c r="I464" s="12"/>
      <c r="J464" s="39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3"/>
    </row>
    <row r="465" spans="1:21" ht="13.5" thickBot="1">
      <c r="A465" s="2">
        <v>41152</v>
      </c>
      <c r="B465" s="8"/>
      <c r="C465" s="23"/>
      <c r="D465" s="16"/>
      <c r="E465" s="12"/>
      <c r="F465" s="12"/>
      <c r="G465" s="12"/>
      <c r="H465" s="12"/>
      <c r="I465" s="12"/>
      <c r="J465" s="39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3"/>
    </row>
    <row r="466" spans="1:21" ht="13.5" thickBot="1">
      <c r="A466" s="4" t="s">
        <v>143</v>
      </c>
      <c r="B466" s="20"/>
      <c r="C466" s="27">
        <f>SUM(C435:C465)</f>
        <v>0</v>
      </c>
      <c r="D466" s="27"/>
      <c r="E466" s="31">
        <f aca="true" t="shared" si="24" ref="E466:T466">SUM(E435:E465)</f>
        <v>0</v>
      </c>
      <c r="F466" s="31">
        <f t="shared" si="24"/>
        <v>0</v>
      </c>
      <c r="G466" s="31">
        <f t="shared" si="24"/>
        <v>0</v>
      </c>
      <c r="H466" s="31">
        <f t="shared" si="24"/>
        <v>0</v>
      </c>
      <c r="I466" s="31">
        <f t="shared" si="24"/>
        <v>0</v>
      </c>
      <c r="J466" s="40">
        <f t="shared" si="24"/>
        <v>0</v>
      </c>
      <c r="K466" s="31">
        <f t="shared" si="24"/>
        <v>0</v>
      </c>
      <c r="L466" s="31">
        <f t="shared" si="24"/>
        <v>0</v>
      </c>
      <c r="M466" s="31">
        <f t="shared" si="24"/>
        <v>0</v>
      </c>
      <c r="N466" s="31">
        <f t="shared" si="24"/>
        <v>0</v>
      </c>
      <c r="O466" s="31">
        <f t="shared" si="24"/>
        <v>0</v>
      </c>
      <c r="P466" s="31">
        <f t="shared" si="24"/>
        <v>0</v>
      </c>
      <c r="Q466" s="31">
        <f t="shared" si="24"/>
        <v>0</v>
      </c>
      <c r="R466" s="31">
        <f>SUM(R435:R465)</f>
        <v>0</v>
      </c>
      <c r="S466" s="31">
        <f>SUM(S435:S465)</f>
        <v>0</v>
      </c>
      <c r="T466" s="31">
        <f t="shared" si="24"/>
        <v>0</v>
      </c>
      <c r="U466" s="30">
        <f>SUM(E466:T466)-J466</f>
        <v>0</v>
      </c>
    </row>
    <row r="467" spans="1:21" ht="13.5" thickBot="1">
      <c r="A467" s="4" t="s">
        <v>144</v>
      </c>
      <c r="B467" s="20"/>
      <c r="C467" s="27">
        <f>C466+C431</f>
        <v>3450.3203535199996</v>
      </c>
      <c r="D467" s="27">
        <f>D466+D431</f>
        <v>808.9000000000001</v>
      </c>
      <c r="E467" s="31">
        <f>E466+E431</f>
        <v>4742.130000000001</v>
      </c>
      <c r="F467" s="31">
        <f aca="true" t="shared" si="25" ref="F467:T467">F466+F431</f>
        <v>395.76</v>
      </c>
      <c r="G467" s="31">
        <f t="shared" si="25"/>
        <v>2512.7733333333335</v>
      </c>
      <c r="H467" s="31">
        <f t="shared" si="25"/>
        <v>3210.6500000000005</v>
      </c>
      <c r="I467" s="31">
        <f t="shared" si="25"/>
        <v>1477.72</v>
      </c>
      <c r="J467" s="40">
        <f t="shared" si="25"/>
        <v>315.74908137097833</v>
      </c>
      <c r="K467" s="31">
        <f t="shared" si="25"/>
        <v>124.97000000000001</v>
      </c>
      <c r="L467" s="31">
        <f t="shared" si="25"/>
        <v>45</v>
      </c>
      <c r="M467" s="31">
        <f t="shared" si="25"/>
        <v>4335.88</v>
      </c>
      <c r="N467" s="31">
        <f t="shared" si="25"/>
        <v>336.17</v>
      </c>
      <c r="O467" s="31">
        <f t="shared" si="25"/>
        <v>0</v>
      </c>
      <c r="P467" s="31">
        <f t="shared" si="25"/>
        <v>4143.32</v>
      </c>
      <c r="Q467" s="31">
        <f t="shared" si="25"/>
        <v>1204.5</v>
      </c>
      <c r="R467" s="31">
        <f>R466+R431</f>
        <v>410.25</v>
      </c>
      <c r="S467" s="31">
        <f>S466+S431</f>
        <v>58.64</v>
      </c>
      <c r="T467" s="31">
        <f t="shared" si="25"/>
        <v>2482.6700000000005</v>
      </c>
      <c r="U467" s="30">
        <f>SUM(E467:T467)-J467</f>
        <v>25480.433333333334</v>
      </c>
    </row>
    <row r="468" ht="13.5" thickBot="1">
      <c r="A468" s="2"/>
    </row>
    <row r="469" ht="13.5" thickBot="1">
      <c r="A469" s="3" t="s">
        <v>10</v>
      </c>
    </row>
    <row r="470" ht="12.75">
      <c r="A470" s="2"/>
    </row>
    <row r="471" spans="1:21" ht="12.75">
      <c r="A471" s="2">
        <v>41153</v>
      </c>
      <c r="B471" s="8"/>
      <c r="C471" s="23"/>
      <c r="D471" s="16"/>
      <c r="E471" s="12"/>
      <c r="F471" s="12"/>
      <c r="G471" s="12"/>
      <c r="H471" s="12"/>
      <c r="I471" s="12"/>
      <c r="J471" s="39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3"/>
    </row>
    <row r="472" spans="1:21" ht="12.75">
      <c r="A472" s="2">
        <v>41154</v>
      </c>
      <c r="B472" s="8"/>
      <c r="C472" s="23"/>
      <c r="D472" s="16"/>
      <c r="E472" s="12"/>
      <c r="F472" s="12"/>
      <c r="G472" s="12"/>
      <c r="H472" s="12"/>
      <c r="I472" s="12"/>
      <c r="J472" s="39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3"/>
    </row>
    <row r="473" spans="1:21" ht="12.75">
      <c r="A473" s="2">
        <v>41155</v>
      </c>
      <c r="B473" s="8"/>
      <c r="C473" s="23"/>
      <c r="D473" s="16"/>
      <c r="E473" s="12"/>
      <c r="F473" s="12"/>
      <c r="G473" s="12"/>
      <c r="H473" s="12"/>
      <c r="I473" s="12"/>
      <c r="J473" s="39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3"/>
    </row>
    <row r="474" spans="1:21" ht="12.75">
      <c r="A474" s="2">
        <v>41156</v>
      </c>
      <c r="B474" s="8"/>
      <c r="C474" s="23"/>
      <c r="D474" s="16"/>
      <c r="E474" s="12"/>
      <c r="F474" s="12"/>
      <c r="G474" s="12"/>
      <c r="H474" s="12"/>
      <c r="I474" s="12"/>
      <c r="J474" s="39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3"/>
    </row>
    <row r="475" spans="1:21" ht="12.75">
      <c r="A475" s="2">
        <v>41157</v>
      </c>
      <c r="B475" s="8"/>
      <c r="C475" s="23"/>
      <c r="D475" s="16"/>
      <c r="E475" s="12"/>
      <c r="F475" s="12"/>
      <c r="G475" s="12"/>
      <c r="H475" s="12"/>
      <c r="I475" s="12"/>
      <c r="J475" s="39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3"/>
    </row>
    <row r="476" spans="1:21" ht="12.75">
      <c r="A476" s="2">
        <v>41158</v>
      </c>
      <c r="B476" s="8"/>
      <c r="C476" s="23"/>
      <c r="D476" s="16"/>
      <c r="E476" s="12"/>
      <c r="F476" s="12"/>
      <c r="G476" s="12"/>
      <c r="H476" s="12"/>
      <c r="I476" s="12"/>
      <c r="J476" s="39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3"/>
    </row>
    <row r="477" spans="1:21" ht="12.75">
      <c r="A477" s="2">
        <v>41159</v>
      </c>
      <c r="B477" s="8"/>
      <c r="C477" s="23"/>
      <c r="D477" s="16"/>
      <c r="E477" s="12"/>
      <c r="F477" s="12"/>
      <c r="G477" s="12"/>
      <c r="H477" s="12"/>
      <c r="I477" s="12"/>
      <c r="J477" s="39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3"/>
    </row>
    <row r="478" spans="1:21" ht="12.75">
      <c r="A478" s="2">
        <v>41160</v>
      </c>
      <c r="B478" s="8"/>
      <c r="C478" s="23"/>
      <c r="D478" s="16"/>
      <c r="E478" s="12"/>
      <c r="F478" s="12"/>
      <c r="G478" s="12"/>
      <c r="H478" s="12"/>
      <c r="I478" s="12"/>
      <c r="J478" s="39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3"/>
    </row>
    <row r="479" spans="1:21" ht="12.75">
      <c r="A479" s="2">
        <v>41161</v>
      </c>
      <c r="B479" s="8"/>
      <c r="C479" s="23"/>
      <c r="D479" s="16"/>
      <c r="E479" s="12"/>
      <c r="F479" s="12"/>
      <c r="G479" s="12"/>
      <c r="H479" s="12"/>
      <c r="I479" s="12"/>
      <c r="J479" s="39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3"/>
    </row>
    <row r="480" spans="1:21" ht="12.75">
      <c r="A480" s="2">
        <v>41162</v>
      </c>
      <c r="B480" s="8"/>
      <c r="C480" s="23"/>
      <c r="D480" s="16"/>
      <c r="E480" s="12"/>
      <c r="F480" s="12"/>
      <c r="G480" s="12"/>
      <c r="H480" s="12"/>
      <c r="I480" s="12"/>
      <c r="J480" s="39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3"/>
    </row>
    <row r="481" spans="1:21" ht="12.75">
      <c r="A481" s="2">
        <v>41163</v>
      </c>
      <c r="B481" s="8"/>
      <c r="C481" s="23"/>
      <c r="D481" s="16"/>
      <c r="E481" s="12"/>
      <c r="F481" s="12"/>
      <c r="G481" s="12"/>
      <c r="H481" s="12"/>
      <c r="I481" s="12"/>
      <c r="J481" s="39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3"/>
    </row>
    <row r="482" spans="1:21" ht="12.75">
      <c r="A482" s="2">
        <v>41164</v>
      </c>
      <c r="B482" s="8"/>
      <c r="C482" s="23"/>
      <c r="D482" s="16"/>
      <c r="E482" s="12"/>
      <c r="F482" s="12"/>
      <c r="G482" s="12"/>
      <c r="H482" s="12"/>
      <c r="I482" s="12"/>
      <c r="J482" s="39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3"/>
    </row>
    <row r="483" spans="1:21" ht="12.75">
      <c r="A483" s="2">
        <v>41165</v>
      </c>
      <c r="B483" s="8"/>
      <c r="C483" s="23"/>
      <c r="D483" s="16"/>
      <c r="E483" s="12"/>
      <c r="F483" s="12"/>
      <c r="G483" s="12"/>
      <c r="H483" s="12"/>
      <c r="I483" s="12"/>
      <c r="J483" s="39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3"/>
    </row>
    <row r="484" spans="1:21" ht="12.75">
      <c r="A484" s="2">
        <v>41166</v>
      </c>
      <c r="B484" s="8"/>
      <c r="C484" s="23"/>
      <c r="D484" s="16"/>
      <c r="E484" s="12"/>
      <c r="F484" s="12"/>
      <c r="G484" s="12"/>
      <c r="H484" s="12"/>
      <c r="I484" s="12"/>
      <c r="J484" s="39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3"/>
    </row>
    <row r="485" spans="1:21" ht="12.75">
      <c r="A485" s="2">
        <v>41167</v>
      </c>
      <c r="B485" s="8"/>
      <c r="C485" s="23"/>
      <c r="D485" s="16"/>
      <c r="E485" s="12"/>
      <c r="F485" s="12"/>
      <c r="G485" s="12"/>
      <c r="H485" s="12"/>
      <c r="I485" s="12"/>
      <c r="J485" s="39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3"/>
    </row>
    <row r="486" spans="1:21" ht="12.75">
      <c r="A486" s="2">
        <v>41168</v>
      </c>
      <c r="B486" s="8"/>
      <c r="C486" s="23"/>
      <c r="D486" s="16"/>
      <c r="E486" s="12"/>
      <c r="F486" s="12"/>
      <c r="G486" s="12"/>
      <c r="H486" s="12"/>
      <c r="I486" s="12"/>
      <c r="J486" s="39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3"/>
    </row>
    <row r="487" spans="1:21" ht="12.75">
      <c r="A487" s="2">
        <v>41169</v>
      </c>
      <c r="B487" s="8"/>
      <c r="C487" s="23"/>
      <c r="D487" s="16"/>
      <c r="E487" s="12"/>
      <c r="F487" s="12"/>
      <c r="G487" s="12"/>
      <c r="H487" s="12"/>
      <c r="I487" s="12"/>
      <c r="J487" s="39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3"/>
    </row>
    <row r="488" spans="1:21" ht="12.75">
      <c r="A488" s="2">
        <v>41170</v>
      </c>
      <c r="B488" s="8"/>
      <c r="C488" s="23"/>
      <c r="D488" s="16"/>
      <c r="E488" s="12"/>
      <c r="F488" s="12"/>
      <c r="G488" s="12"/>
      <c r="H488" s="12"/>
      <c r="I488" s="12"/>
      <c r="J488" s="39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3"/>
    </row>
    <row r="489" spans="1:21" ht="12.75">
      <c r="A489" s="2">
        <v>41171</v>
      </c>
      <c r="B489" s="8"/>
      <c r="C489" s="23"/>
      <c r="D489" s="16"/>
      <c r="E489" s="12"/>
      <c r="F489" s="12"/>
      <c r="G489" s="12"/>
      <c r="H489" s="12"/>
      <c r="I489" s="12"/>
      <c r="J489" s="39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3"/>
    </row>
    <row r="490" spans="1:21" ht="12.75">
      <c r="A490" s="2">
        <v>41172</v>
      </c>
      <c r="B490" s="8"/>
      <c r="C490" s="23"/>
      <c r="D490" s="16"/>
      <c r="E490" s="12"/>
      <c r="F490" s="12"/>
      <c r="G490" s="12"/>
      <c r="H490" s="12"/>
      <c r="I490" s="12"/>
      <c r="J490" s="39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3"/>
    </row>
    <row r="491" spans="1:21" ht="12.75">
      <c r="A491" s="2">
        <v>41173</v>
      </c>
      <c r="B491" s="8"/>
      <c r="C491" s="23"/>
      <c r="D491" s="16"/>
      <c r="E491" s="12"/>
      <c r="F491" s="12"/>
      <c r="G491" s="12"/>
      <c r="H491" s="12"/>
      <c r="I491" s="12"/>
      <c r="J491" s="39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3"/>
    </row>
    <row r="492" spans="1:21" ht="12.75">
      <c r="A492" s="2">
        <v>41174</v>
      </c>
      <c r="B492" s="8"/>
      <c r="C492" s="23"/>
      <c r="D492" s="16"/>
      <c r="E492" s="12"/>
      <c r="F492" s="12"/>
      <c r="G492" s="12"/>
      <c r="H492" s="12"/>
      <c r="I492" s="12"/>
      <c r="J492" s="39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3"/>
    </row>
    <row r="493" spans="1:21" ht="12.75">
      <c r="A493" s="2">
        <v>41175</v>
      </c>
      <c r="B493" s="8"/>
      <c r="C493" s="23"/>
      <c r="D493" s="16"/>
      <c r="E493" s="12"/>
      <c r="F493" s="12"/>
      <c r="G493" s="12"/>
      <c r="H493" s="12"/>
      <c r="I493" s="12"/>
      <c r="J493" s="39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3"/>
    </row>
    <row r="494" spans="1:21" ht="12.75">
      <c r="A494" s="2">
        <v>41176</v>
      </c>
      <c r="B494" s="8"/>
      <c r="C494" s="23"/>
      <c r="D494" s="16"/>
      <c r="E494" s="12"/>
      <c r="F494" s="12"/>
      <c r="G494" s="12"/>
      <c r="H494" s="12"/>
      <c r="I494" s="12"/>
      <c r="J494" s="39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3"/>
    </row>
    <row r="495" spans="1:21" ht="12.75">
      <c r="A495" s="2">
        <v>41177</v>
      </c>
      <c r="B495" s="8"/>
      <c r="C495" s="23"/>
      <c r="D495" s="16"/>
      <c r="E495" s="12"/>
      <c r="F495" s="12"/>
      <c r="G495" s="12"/>
      <c r="H495" s="12"/>
      <c r="I495" s="12"/>
      <c r="J495" s="39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3"/>
    </row>
    <row r="496" spans="1:21" ht="12.75">
      <c r="A496" s="2">
        <v>41178</v>
      </c>
      <c r="B496" s="8"/>
      <c r="C496" s="23"/>
      <c r="D496" s="16"/>
      <c r="E496" s="12"/>
      <c r="F496" s="12"/>
      <c r="G496" s="12"/>
      <c r="H496" s="12"/>
      <c r="I496" s="12"/>
      <c r="J496" s="39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3"/>
    </row>
    <row r="497" spans="1:21" ht="12.75">
      <c r="A497" s="2">
        <v>41179</v>
      </c>
      <c r="B497" s="8"/>
      <c r="C497" s="23"/>
      <c r="D497" s="16"/>
      <c r="E497" s="12"/>
      <c r="F497" s="12"/>
      <c r="G497" s="12"/>
      <c r="H497" s="12"/>
      <c r="I497" s="12"/>
      <c r="J497" s="39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3"/>
    </row>
    <row r="498" spans="1:21" ht="12.75">
      <c r="A498" s="2">
        <v>41180</v>
      </c>
      <c r="B498" s="8"/>
      <c r="C498" s="23"/>
      <c r="D498" s="16"/>
      <c r="E498" s="12"/>
      <c r="F498" s="12"/>
      <c r="G498" s="12"/>
      <c r="H498" s="12"/>
      <c r="I498" s="12"/>
      <c r="J498" s="39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3"/>
    </row>
    <row r="499" spans="1:21" ht="12.75">
      <c r="A499" s="2">
        <v>41181</v>
      </c>
      <c r="B499" s="8"/>
      <c r="C499" s="23"/>
      <c r="D499" s="16"/>
      <c r="E499" s="12"/>
      <c r="F499" s="12"/>
      <c r="G499" s="12"/>
      <c r="H499" s="12"/>
      <c r="I499" s="12"/>
      <c r="J499" s="39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3"/>
    </row>
    <row r="500" spans="1:21" ht="13.5" thickBot="1">
      <c r="A500" s="2">
        <v>41182</v>
      </c>
      <c r="B500" s="8"/>
      <c r="C500" s="23"/>
      <c r="D500" s="16"/>
      <c r="E500" s="12"/>
      <c r="F500" s="12"/>
      <c r="G500" s="12"/>
      <c r="H500" s="12"/>
      <c r="I500" s="12"/>
      <c r="J500" s="39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3"/>
    </row>
    <row r="501" spans="1:21" ht="13.5" thickBot="1">
      <c r="A501" s="4" t="s">
        <v>143</v>
      </c>
      <c r="B501" s="20"/>
      <c r="C501" s="27">
        <f>SUM(C470:C500)</f>
        <v>0</v>
      </c>
      <c r="D501" s="27"/>
      <c r="E501" s="31">
        <f aca="true" t="shared" si="26" ref="E501:T501">SUM(E470:E500)</f>
        <v>0</v>
      </c>
      <c r="F501" s="31">
        <f t="shared" si="26"/>
        <v>0</v>
      </c>
      <c r="G501" s="31">
        <f t="shared" si="26"/>
        <v>0</v>
      </c>
      <c r="H501" s="31">
        <f t="shared" si="26"/>
        <v>0</v>
      </c>
      <c r="I501" s="31">
        <f t="shared" si="26"/>
        <v>0</v>
      </c>
      <c r="J501" s="40">
        <f t="shared" si="26"/>
        <v>0</v>
      </c>
      <c r="K501" s="31">
        <f t="shared" si="26"/>
        <v>0</v>
      </c>
      <c r="L501" s="31">
        <f t="shared" si="26"/>
        <v>0</v>
      </c>
      <c r="M501" s="31">
        <f t="shared" si="26"/>
        <v>0</v>
      </c>
      <c r="N501" s="31">
        <f t="shared" si="26"/>
        <v>0</v>
      </c>
      <c r="O501" s="31">
        <f t="shared" si="26"/>
        <v>0</v>
      </c>
      <c r="P501" s="31">
        <f t="shared" si="26"/>
        <v>0</v>
      </c>
      <c r="Q501" s="31">
        <f t="shared" si="26"/>
        <v>0</v>
      </c>
      <c r="R501" s="31">
        <f>SUM(R470:R500)</f>
        <v>0</v>
      </c>
      <c r="S501" s="31">
        <f>SUM(S470:S500)</f>
        <v>0</v>
      </c>
      <c r="T501" s="31">
        <f t="shared" si="26"/>
        <v>0</v>
      </c>
      <c r="U501" s="30">
        <f>SUM(E501:T501)-J501</f>
        <v>0</v>
      </c>
    </row>
    <row r="502" spans="1:21" ht="13.5" thickBot="1">
      <c r="A502" s="4" t="s">
        <v>144</v>
      </c>
      <c r="B502" s="20"/>
      <c r="C502" s="27">
        <f>C501+C467</f>
        <v>3450.3203535199996</v>
      </c>
      <c r="D502" s="27">
        <f>D501+D467</f>
        <v>808.9000000000001</v>
      </c>
      <c r="E502" s="31">
        <f>E501+E467</f>
        <v>4742.130000000001</v>
      </c>
      <c r="F502" s="31">
        <f aca="true" t="shared" si="27" ref="F502:T502">F501+F467</f>
        <v>395.76</v>
      </c>
      <c r="G502" s="31">
        <f t="shared" si="27"/>
        <v>2512.7733333333335</v>
      </c>
      <c r="H502" s="31">
        <f t="shared" si="27"/>
        <v>3210.6500000000005</v>
      </c>
      <c r="I502" s="31">
        <f t="shared" si="27"/>
        <v>1477.72</v>
      </c>
      <c r="J502" s="40">
        <f t="shared" si="27"/>
        <v>315.74908137097833</v>
      </c>
      <c r="K502" s="31">
        <f t="shared" si="27"/>
        <v>124.97000000000001</v>
      </c>
      <c r="L502" s="31">
        <f t="shared" si="27"/>
        <v>45</v>
      </c>
      <c r="M502" s="31">
        <f t="shared" si="27"/>
        <v>4335.88</v>
      </c>
      <c r="N502" s="31">
        <f t="shared" si="27"/>
        <v>336.17</v>
      </c>
      <c r="O502" s="31">
        <f t="shared" si="27"/>
        <v>0</v>
      </c>
      <c r="P502" s="31">
        <f t="shared" si="27"/>
        <v>4143.32</v>
      </c>
      <c r="Q502" s="31">
        <f t="shared" si="27"/>
        <v>1204.5</v>
      </c>
      <c r="R502" s="31">
        <f>R501+R467</f>
        <v>410.25</v>
      </c>
      <c r="S502" s="31">
        <f>S501+S467</f>
        <v>58.64</v>
      </c>
      <c r="T502" s="31">
        <f t="shared" si="27"/>
        <v>2482.6700000000005</v>
      </c>
      <c r="U502" s="30">
        <f>SUM(E502:T502)-J502</f>
        <v>25480.433333333334</v>
      </c>
    </row>
    <row r="503" ht="13.5" thickBot="1">
      <c r="A503" s="2"/>
    </row>
    <row r="504" ht="13.5" thickBot="1">
      <c r="A504" s="3" t="s">
        <v>11</v>
      </c>
    </row>
    <row r="505" ht="12.75">
      <c r="A505" s="2"/>
    </row>
    <row r="506" spans="1:21" ht="12.75">
      <c r="A506" s="2">
        <v>41183</v>
      </c>
      <c r="B506" s="8"/>
      <c r="C506" s="23"/>
      <c r="D506" s="16"/>
      <c r="E506" s="12"/>
      <c r="F506" s="12"/>
      <c r="G506" s="12"/>
      <c r="H506" s="12"/>
      <c r="I506" s="12"/>
      <c r="J506" s="39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3"/>
    </row>
    <row r="507" spans="1:21" ht="12.75">
      <c r="A507" s="2">
        <v>41184</v>
      </c>
      <c r="B507" s="8"/>
      <c r="C507" s="23"/>
      <c r="D507" s="16"/>
      <c r="E507" s="12"/>
      <c r="F507" s="12"/>
      <c r="G507" s="12"/>
      <c r="H507" s="12"/>
      <c r="I507" s="12"/>
      <c r="J507" s="39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3"/>
    </row>
    <row r="508" spans="1:21" ht="12.75">
      <c r="A508" s="2">
        <v>41185</v>
      </c>
      <c r="B508" s="8"/>
      <c r="C508" s="23"/>
      <c r="D508" s="16"/>
      <c r="E508" s="12"/>
      <c r="F508" s="12"/>
      <c r="G508" s="12"/>
      <c r="H508" s="12"/>
      <c r="I508" s="12"/>
      <c r="J508" s="39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3"/>
    </row>
    <row r="509" spans="1:21" ht="12.75">
      <c r="A509" s="2">
        <v>41186</v>
      </c>
      <c r="B509" s="8"/>
      <c r="C509" s="23"/>
      <c r="D509" s="16"/>
      <c r="E509" s="12"/>
      <c r="F509" s="12"/>
      <c r="G509" s="12"/>
      <c r="H509" s="12"/>
      <c r="I509" s="12"/>
      <c r="J509" s="39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3"/>
    </row>
    <row r="510" spans="1:21" ht="12.75">
      <c r="A510" s="2">
        <v>41187</v>
      </c>
      <c r="B510" s="8"/>
      <c r="C510" s="23"/>
      <c r="D510" s="16"/>
      <c r="E510" s="12"/>
      <c r="F510" s="12"/>
      <c r="G510" s="12"/>
      <c r="H510" s="12"/>
      <c r="I510" s="12"/>
      <c r="J510" s="39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3"/>
    </row>
    <row r="511" spans="1:21" ht="12.75">
      <c r="A511" s="2">
        <v>41188</v>
      </c>
      <c r="B511" s="8"/>
      <c r="C511" s="23"/>
      <c r="D511" s="16"/>
      <c r="E511" s="12"/>
      <c r="F511" s="12"/>
      <c r="G511" s="12"/>
      <c r="H511" s="12"/>
      <c r="I511" s="12"/>
      <c r="J511" s="39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3"/>
    </row>
    <row r="512" spans="1:21" ht="12.75">
      <c r="A512" s="2">
        <v>41189</v>
      </c>
      <c r="B512" s="8"/>
      <c r="C512" s="23"/>
      <c r="D512" s="16"/>
      <c r="E512" s="12"/>
      <c r="F512" s="12"/>
      <c r="G512" s="12"/>
      <c r="H512" s="12"/>
      <c r="I512" s="12"/>
      <c r="J512" s="39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3"/>
    </row>
    <row r="513" spans="1:21" ht="12.75">
      <c r="A513" s="2">
        <v>41190</v>
      </c>
      <c r="B513" s="8"/>
      <c r="C513" s="23"/>
      <c r="D513" s="16"/>
      <c r="E513" s="12"/>
      <c r="F513" s="12"/>
      <c r="G513" s="12"/>
      <c r="H513" s="12"/>
      <c r="I513" s="12"/>
      <c r="J513" s="39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3"/>
    </row>
    <row r="514" spans="1:21" ht="12.75">
      <c r="A514" s="2">
        <v>41191</v>
      </c>
      <c r="B514" s="8"/>
      <c r="C514" s="23"/>
      <c r="D514" s="16"/>
      <c r="E514" s="12"/>
      <c r="F514" s="12"/>
      <c r="G514" s="12"/>
      <c r="H514" s="12"/>
      <c r="I514" s="12"/>
      <c r="J514" s="39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3"/>
    </row>
    <row r="515" spans="1:21" ht="12.75">
      <c r="A515" s="2">
        <v>41192</v>
      </c>
      <c r="B515" s="8"/>
      <c r="C515" s="23"/>
      <c r="D515" s="16"/>
      <c r="E515" s="12"/>
      <c r="F515" s="12"/>
      <c r="G515" s="12"/>
      <c r="H515" s="12"/>
      <c r="I515" s="12"/>
      <c r="J515" s="39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3"/>
    </row>
    <row r="516" spans="1:21" ht="12.75">
      <c r="A516" s="2">
        <v>41193</v>
      </c>
      <c r="B516" s="8"/>
      <c r="C516" s="23"/>
      <c r="D516" s="16"/>
      <c r="E516" s="12"/>
      <c r="F516" s="12"/>
      <c r="G516" s="12"/>
      <c r="H516" s="12"/>
      <c r="I516" s="12"/>
      <c r="J516" s="39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3"/>
    </row>
    <row r="517" spans="1:21" ht="12.75">
      <c r="A517" s="2">
        <v>41194</v>
      </c>
      <c r="B517" s="8"/>
      <c r="C517" s="23"/>
      <c r="D517" s="16"/>
      <c r="E517" s="12"/>
      <c r="F517" s="12"/>
      <c r="G517" s="12"/>
      <c r="H517" s="12"/>
      <c r="I517" s="12"/>
      <c r="J517" s="39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3"/>
    </row>
    <row r="518" spans="1:21" ht="12.75">
      <c r="A518" s="2">
        <v>41195</v>
      </c>
      <c r="B518" s="8"/>
      <c r="C518" s="23"/>
      <c r="D518" s="16"/>
      <c r="E518" s="12"/>
      <c r="F518" s="12"/>
      <c r="G518" s="12"/>
      <c r="H518" s="12"/>
      <c r="I518" s="12"/>
      <c r="J518" s="39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3"/>
    </row>
    <row r="519" spans="1:21" ht="12.75">
      <c r="A519" s="2">
        <v>41196</v>
      </c>
      <c r="B519" s="8"/>
      <c r="C519" s="23"/>
      <c r="D519" s="16"/>
      <c r="E519" s="12"/>
      <c r="F519" s="12"/>
      <c r="G519" s="12"/>
      <c r="H519" s="12"/>
      <c r="I519" s="12"/>
      <c r="J519" s="39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3"/>
    </row>
    <row r="520" spans="1:21" ht="12.75">
      <c r="A520" s="2">
        <v>41197</v>
      </c>
      <c r="B520" s="8"/>
      <c r="C520" s="23"/>
      <c r="D520" s="16"/>
      <c r="E520" s="12"/>
      <c r="F520" s="12"/>
      <c r="G520" s="12"/>
      <c r="H520" s="12"/>
      <c r="I520" s="12"/>
      <c r="J520" s="39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3"/>
    </row>
    <row r="521" spans="1:21" ht="12.75">
      <c r="A521" s="2">
        <v>41198</v>
      </c>
      <c r="B521" s="8"/>
      <c r="C521" s="23"/>
      <c r="D521" s="16"/>
      <c r="E521" s="12"/>
      <c r="F521" s="12"/>
      <c r="G521" s="12"/>
      <c r="H521" s="12"/>
      <c r="I521" s="12"/>
      <c r="J521" s="39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3"/>
    </row>
    <row r="522" spans="1:21" ht="12.75">
      <c r="A522" s="2">
        <v>41199</v>
      </c>
      <c r="B522" s="8"/>
      <c r="C522" s="23"/>
      <c r="D522" s="16"/>
      <c r="E522" s="12"/>
      <c r="F522" s="12"/>
      <c r="G522" s="12"/>
      <c r="H522" s="12"/>
      <c r="I522" s="12"/>
      <c r="J522" s="39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3"/>
    </row>
    <row r="523" spans="1:21" ht="12.75">
      <c r="A523" s="2">
        <v>41200</v>
      </c>
      <c r="B523" s="8"/>
      <c r="C523" s="23"/>
      <c r="D523" s="16"/>
      <c r="E523" s="12"/>
      <c r="F523" s="12"/>
      <c r="G523" s="12"/>
      <c r="H523" s="12"/>
      <c r="I523" s="12"/>
      <c r="J523" s="39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3"/>
    </row>
    <row r="524" spans="1:21" ht="12.75">
      <c r="A524" s="2">
        <v>41201</v>
      </c>
      <c r="B524" s="8"/>
      <c r="C524" s="23"/>
      <c r="D524" s="16"/>
      <c r="E524" s="12"/>
      <c r="F524" s="12"/>
      <c r="G524" s="12"/>
      <c r="H524" s="12"/>
      <c r="I524" s="12"/>
      <c r="J524" s="39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3"/>
    </row>
    <row r="525" spans="1:21" ht="12.75">
      <c r="A525" s="2">
        <v>41202</v>
      </c>
      <c r="B525" s="8"/>
      <c r="C525" s="23"/>
      <c r="D525" s="16"/>
      <c r="E525" s="12"/>
      <c r="F525" s="12"/>
      <c r="G525" s="12"/>
      <c r="H525" s="12"/>
      <c r="I525" s="12"/>
      <c r="J525" s="39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3"/>
    </row>
    <row r="526" spans="1:21" ht="12.75">
      <c r="A526" s="2">
        <v>41203</v>
      </c>
      <c r="B526" s="8"/>
      <c r="C526" s="23"/>
      <c r="D526" s="16"/>
      <c r="E526" s="12"/>
      <c r="F526" s="12"/>
      <c r="G526" s="12"/>
      <c r="H526" s="12"/>
      <c r="I526" s="12"/>
      <c r="J526" s="39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3"/>
    </row>
    <row r="527" spans="1:21" ht="12.75">
      <c r="A527" s="2">
        <v>41204</v>
      </c>
      <c r="B527" s="8"/>
      <c r="C527" s="23"/>
      <c r="D527" s="16"/>
      <c r="E527" s="12"/>
      <c r="F527" s="12"/>
      <c r="G527" s="12"/>
      <c r="H527" s="12"/>
      <c r="I527" s="12"/>
      <c r="J527" s="39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3"/>
    </row>
    <row r="528" spans="1:21" ht="12.75">
      <c r="A528" s="2">
        <v>41205</v>
      </c>
      <c r="B528" s="8"/>
      <c r="C528" s="23"/>
      <c r="D528" s="16"/>
      <c r="E528" s="12"/>
      <c r="F528" s="12"/>
      <c r="G528" s="12"/>
      <c r="H528" s="12"/>
      <c r="I528" s="12"/>
      <c r="J528" s="39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3"/>
    </row>
    <row r="529" spans="1:21" ht="12.75">
      <c r="A529" s="2">
        <v>41206</v>
      </c>
      <c r="B529" s="8"/>
      <c r="C529" s="23"/>
      <c r="D529" s="16"/>
      <c r="E529" s="12"/>
      <c r="F529" s="12"/>
      <c r="G529" s="12"/>
      <c r="H529" s="12"/>
      <c r="I529" s="12"/>
      <c r="J529" s="39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3"/>
    </row>
    <row r="530" spans="1:21" ht="12.75">
      <c r="A530" s="2">
        <v>41207</v>
      </c>
      <c r="B530" s="8"/>
      <c r="C530" s="23"/>
      <c r="D530" s="16"/>
      <c r="E530" s="12"/>
      <c r="F530" s="12"/>
      <c r="G530" s="12"/>
      <c r="H530" s="12"/>
      <c r="I530" s="12"/>
      <c r="J530" s="39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3"/>
    </row>
    <row r="531" spans="1:21" ht="12.75">
      <c r="A531" s="2">
        <v>41208</v>
      </c>
      <c r="B531" s="8"/>
      <c r="C531" s="23"/>
      <c r="D531" s="16"/>
      <c r="E531" s="12"/>
      <c r="F531" s="12"/>
      <c r="G531" s="12"/>
      <c r="H531" s="12"/>
      <c r="I531" s="12"/>
      <c r="J531" s="39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3"/>
    </row>
    <row r="532" spans="1:21" ht="12.75">
      <c r="A532" s="2">
        <v>41209</v>
      </c>
      <c r="B532" s="8"/>
      <c r="C532" s="23"/>
      <c r="D532" s="16"/>
      <c r="E532" s="12"/>
      <c r="F532" s="12"/>
      <c r="G532" s="12"/>
      <c r="H532" s="12"/>
      <c r="I532" s="12"/>
      <c r="J532" s="39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3"/>
    </row>
    <row r="533" spans="1:21" ht="12.75">
      <c r="A533" s="2">
        <v>41210</v>
      </c>
      <c r="B533" s="8"/>
      <c r="C533" s="23"/>
      <c r="D533" s="16"/>
      <c r="E533" s="12"/>
      <c r="F533" s="12"/>
      <c r="G533" s="12"/>
      <c r="H533" s="12"/>
      <c r="I533" s="12"/>
      <c r="J533" s="39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3"/>
    </row>
    <row r="534" spans="1:21" ht="12.75">
      <c r="A534" s="2">
        <v>41211</v>
      </c>
      <c r="B534" s="8"/>
      <c r="C534" s="23"/>
      <c r="D534" s="16"/>
      <c r="E534" s="12"/>
      <c r="F534" s="12"/>
      <c r="G534" s="12"/>
      <c r="H534" s="12"/>
      <c r="I534" s="12"/>
      <c r="J534" s="39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3"/>
    </row>
    <row r="535" spans="1:21" ht="12.75">
      <c r="A535" s="2">
        <v>41212</v>
      </c>
      <c r="B535" s="8"/>
      <c r="C535" s="23"/>
      <c r="D535" s="16"/>
      <c r="E535" s="12"/>
      <c r="F535" s="12"/>
      <c r="G535" s="12"/>
      <c r="H535" s="12"/>
      <c r="I535" s="12"/>
      <c r="J535" s="39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3"/>
    </row>
    <row r="536" spans="1:21" ht="13.5" thickBot="1">
      <c r="A536" s="2">
        <v>41213</v>
      </c>
      <c r="B536" s="8"/>
      <c r="C536" s="23"/>
      <c r="D536" s="16"/>
      <c r="E536" s="12"/>
      <c r="F536" s="12"/>
      <c r="G536" s="12"/>
      <c r="H536" s="12"/>
      <c r="I536" s="12"/>
      <c r="J536" s="39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3"/>
    </row>
    <row r="537" spans="1:21" ht="13.5" thickBot="1">
      <c r="A537" s="4" t="s">
        <v>143</v>
      </c>
      <c r="B537" s="20"/>
      <c r="C537" s="27">
        <f>SUM(C506:C536)</f>
        <v>0</v>
      </c>
      <c r="D537" s="27"/>
      <c r="E537" s="31">
        <f aca="true" t="shared" si="28" ref="E537:T537">SUM(E506:E536)</f>
        <v>0</v>
      </c>
      <c r="F537" s="31">
        <f t="shared" si="28"/>
        <v>0</v>
      </c>
      <c r="G537" s="31">
        <f t="shared" si="28"/>
        <v>0</v>
      </c>
      <c r="H537" s="31">
        <f t="shared" si="28"/>
        <v>0</v>
      </c>
      <c r="I537" s="31">
        <f t="shared" si="28"/>
        <v>0</v>
      </c>
      <c r="J537" s="40">
        <f t="shared" si="28"/>
        <v>0</v>
      </c>
      <c r="K537" s="31">
        <f t="shared" si="28"/>
        <v>0</v>
      </c>
      <c r="L537" s="31">
        <f t="shared" si="28"/>
        <v>0</v>
      </c>
      <c r="M537" s="31">
        <f t="shared" si="28"/>
        <v>0</v>
      </c>
      <c r="N537" s="31">
        <f t="shared" si="28"/>
        <v>0</v>
      </c>
      <c r="O537" s="31">
        <f t="shared" si="28"/>
        <v>0</v>
      </c>
      <c r="P537" s="31">
        <f t="shared" si="28"/>
        <v>0</v>
      </c>
      <c r="Q537" s="31">
        <f t="shared" si="28"/>
        <v>0</v>
      </c>
      <c r="R537" s="31">
        <f>SUM(R506:R536)</f>
        <v>0</v>
      </c>
      <c r="S537" s="31">
        <f>SUM(S506:S536)</f>
        <v>0</v>
      </c>
      <c r="T537" s="31">
        <f t="shared" si="28"/>
        <v>0</v>
      </c>
      <c r="U537" s="30">
        <f>SUM(E537:T537)-J537</f>
        <v>0</v>
      </c>
    </row>
    <row r="538" spans="1:21" ht="13.5" thickBot="1">
      <c r="A538" s="4" t="s">
        <v>144</v>
      </c>
      <c r="B538" s="20"/>
      <c r="C538" s="27">
        <f>C537+C502</f>
        <v>3450.3203535199996</v>
      </c>
      <c r="D538" s="27">
        <f>D537+D502</f>
        <v>808.9000000000001</v>
      </c>
      <c r="E538" s="31">
        <f>E537+E502</f>
        <v>4742.130000000001</v>
      </c>
      <c r="F538" s="31">
        <f aca="true" t="shared" si="29" ref="F538:T538">F537+F502</f>
        <v>395.76</v>
      </c>
      <c r="G538" s="31">
        <f t="shared" si="29"/>
        <v>2512.7733333333335</v>
      </c>
      <c r="H538" s="31">
        <f t="shared" si="29"/>
        <v>3210.6500000000005</v>
      </c>
      <c r="I538" s="31">
        <f t="shared" si="29"/>
        <v>1477.72</v>
      </c>
      <c r="J538" s="40">
        <f t="shared" si="29"/>
        <v>315.74908137097833</v>
      </c>
      <c r="K538" s="31">
        <f t="shared" si="29"/>
        <v>124.97000000000001</v>
      </c>
      <c r="L538" s="31">
        <f t="shared" si="29"/>
        <v>45</v>
      </c>
      <c r="M538" s="31">
        <f t="shared" si="29"/>
        <v>4335.88</v>
      </c>
      <c r="N538" s="31">
        <f t="shared" si="29"/>
        <v>336.17</v>
      </c>
      <c r="O538" s="31">
        <f t="shared" si="29"/>
        <v>0</v>
      </c>
      <c r="P538" s="31">
        <f t="shared" si="29"/>
        <v>4143.32</v>
      </c>
      <c r="Q538" s="31">
        <f t="shared" si="29"/>
        <v>1204.5</v>
      </c>
      <c r="R538" s="31">
        <f>R537+R502</f>
        <v>410.25</v>
      </c>
      <c r="S538" s="31">
        <f>S537+S502</f>
        <v>58.64</v>
      </c>
      <c r="T538" s="31">
        <f t="shared" si="29"/>
        <v>2482.6700000000005</v>
      </c>
      <c r="U538" s="30">
        <f>SUM(E538:T538)-J538</f>
        <v>25480.433333333334</v>
      </c>
    </row>
    <row r="539" ht="13.5" thickBot="1">
      <c r="A539" s="2"/>
    </row>
    <row r="540" ht="13.5" thickBot="1">
      <c r="A540" s="3" t="s">
        <v>12</v>
      </c>
    </row>
    <row r="541" ht="12.75">
      <c r="A541" s="2"/>
    </row>
    <row r="542" spans="1:21" ht="12.75">
      <c r="A542" s="2">
        <v>41214</v>
      </c>
      <c r="B542" s="8"/>
      <c r="C542" s="23"/>
      <c r="D542" s="16"/>
      <c r="E542" s="12"/>
      <c r="F542" s="12"/>
      <c r="G542" s="12"/>
      <c r="H542" s="12"/>
      <c r="I542" s="12"/>
      <c r="J542" s="39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3"/>
    </row>
    <row r="543" spans="1:21" ht="12.75">
      <c r="A543" s="2">
        <v>41215</v>
      </c>
      <c r="B543" s="8"/>
      <c r="C543" s="23"/>
      <c r="D543" s="16"/>
      <c r="E543" s="12"/>
      <c r="F543" s="12"/>
      <c r="G543" s="12"/>
      <c r="H543" s="12"/>
      <c r="I543" s="12"/>
      <c r="J543" s="39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3"/>
    </row>
    <row r="544" spans="1:21" ht="12.75">
      <c r="A544" s="2">
        <v>41216</v>
      </c>
      <c r="B544" s="8"/>
      <c r="C544" s="23"/>
      <c r="D544" s="16"/>
      <c r="E544" s="12"/>
      <c r="F544" s="12"/>
      <c r="G544" s="12"/>
      <c r="H544" s="12"/>
      <c r="I544" s="12"/>
      <c r="J544" s="39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3"/>
    </row>
    <row r="545" spans="1:21" ht="12.75">
      <c r="A545" s="2">
        <v>41217</v>
      </c>
      <c r="B545" s="8"/>
      <c r="C545" s="23"/>
      <c r="D545" s="16"/>
      <c r="E545" s="12"/>
      <c r="F545" s="12"/>
      <c r="G545" s="12"/>
      <c r="H545" s="12"/>
      <c r="I545" s="12"/>
      <c r="J545" s="39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3"/>
    </row>
    <row r="546" spans="1:21" ht="12.75">
      <c r="A546" s="2">
        <v>41218</v>
      </c>
      <c r="B546" s="8"/>
      <c r="C546" s="23"/>
      <c r="D546" s="16"/>
      <c r="E546" s="12"/>
      <c r="F546" s="12"/>
      <c r="G546" s="12"/>
      <c r="H546" s="12"/>
      <c r="I546" s="12"/>
      <c r="J546" s="39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3"/>
    </row>
    <row r="547" spans="1:21" ht="12.75">
      <c r="A547" s="2">
        <v>41219</v>
      </c>
      <c r="B547" s="8"/>
      <c r="C547" s="23"/>
      <c r="D547" s="16"/>
      <c r="E547" s="12"/>
      <c r="F547" s="12"/>
      <c r="G547" s="12"/>
      <c r="H547" s="12"/>
      <c r="I547" s="12"/>
      <c r="J547" s="39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3"/>
    </row>
    <row r="548" spans="1:21" ht="12.75">
      <c r="A548" s="2">
        <v>41220</v>
      </c>
      <c r="B548" s="8"/>
      <c r="C548" s="23"/>
      <c r="D548" s="16"/>
      <c r="E548" s="12"/>
      <c r="F548" s="12"/>
      <c r="G548" s="12"/>
      <c r="H548" s="12"/>
      <c r="I548" s="12"/>
      <c r="J548" s="39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3"/>
    </row>
    <row r="549" spans="1:21" ht="12.75">
      <c r="A549" s="2">
        <v>41221</v>
      </c>
      <c r="B549" s="8"/>
      <c r="C549" s="23"/>
      <c r="D549" s="16"/>
      <c r="E549" s="12"/>
      <c r="F549" s="12"/>
      <c r="G549" s="12"/>
      <c r="H549" s="12"/>
      <c r="I549" s="12"/>
      <c r="J549" s="39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3"/>
    </row>
    <row r="550" spans="1:21" ht="12.75">
      <c r="A550" s="2">
        <v>41222</v>
      </c>
      <c r="B550" s="8"/>
      <c r="C550" s="23"/>
      <c r="D550" s="16"/>
      <c r="E550" s="12"/>
      <c r="F550" s="12"/>
      <c r="G550" s="12"/>
      <c r="H550" s="12"/>
      <c r="I550" s="12"/>
      <c r="J550" s="39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3"/>
    </row>
    <row r="551" spans="1:21" ht="12.75">
      <c r="A551" s="2">
        <v>41223</v>
      </c>
      <c r="B551" s="8"/>
      <c r="C551" s="23"/>
      <c r="D551" s="16"/>
      <c r="E551" s="12"/>
      <c r="F551" s="12"/>
      <c r="G551" s="12"/>
      <c r="H551" s="12"/>
      <c r="I551" s="12"/>
      <c r="J551" s="39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3"/>
    </row>
    <row r="552" spans="1:21" ht="12.75">
      <c r="A552" s="2">
        <v>41224</v>
      </c>
      <c r="B552" s="8"/>
      <c r="C552" s="23"/>
      <c r="D552" s="16"/>
      <c r="E552" s="12"/>
      <c r="F552" s="12"/>
      <c r="G552" s="12"/>
      <c r="H552" s="12"/>
      <c r="I552" s="12"/>
      <c r="J552" s="39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3"/>
    </row>
    <row r="553" spans="1:21" ht="12.75">
      <c r="A553" s="2">
        <v>41225</v>
      </c>
      <c r="B553" s="8"/>
      <c r="C553" s="23"/>
      <c r="D553" s="16"/>
      <c r="E553" s="12"/>
      <c r="F553" s="12"/>
      <c r="G553" s="12"/>
      <c r="H553" s="12"/>
      <c r="I553" s="12"/>
      <c r="J553" s="39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3"/>
    </row>
    <row r="554" spans="1:21" ht="12.75">
      <c r="A554" s="2">
        <v>41226</v>
      </c>
      <c r="B554" s="8"/>
      <c r="C554" s="23"/>
      <c r="D554" s="16"/>
      <c r="E554" s="12"/>
      <c r="F554" s="12"/>
      <c r="G554" s="12"/>
      <c r="H554" s="12"/>
      <c r="I554" s="12"/>
      <c r="J554" s="39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3"/>
    </row>
    <row r="555" spans="1:21" ht="12.75">
      <c r="A555" s="2">
        <v>41227</v>
      </c>
      <c r="B555" s="8"/>
      <c r="C555" s="23"/>
      <c r="D555" s="16"/>
      <c r="E555" s="12"/>
      <c r="F555" s="12"/>
      <c r="G555" s="12"/>
      <c r="H555" s="12"/>
      <c r="I555" s="12"/>
      <c r="J555" s="39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3"/>
    </row>
    <row r="556" spans="1:21" ht="12.75">
      <c r="A556" s="2">
        <v>41228</v>
      </c>
      <c r="B556" s="8"/>
      <c r="C556" s="23"/>
      <c r="D556" s="16"/>
      <c r="E556" s="12"/>
      <c r="F556" s="12"/>
      <c r="G556" s="12"/>
      <c r="H556" s="12"/>
      <c r="I556" s="12"/>
      <c r="J556" s="39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3"/>
    </row>
    <row r="557" spans="1:21" ht="12.75">
      <c r="A557" s="2">
        <v>41229</v>
      </c>
      <c r="B557" s="8"/>
      <c r="C557" s="23"/>
      <c r="D557" s="16"/>
      <c r="E557" s="12"/>
      <c r="F557" s="12"/>
      <c r="G557" s="12"/>
      <c r="H557" s="12"/>
      <c r="I557" s="12"/>
      <c r="J557" s="39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3"/>
    </row>
    <row r="558" spans="1:21" ht="12.75">
      <c r="A558" s="2">
        <v>41230</v>
      </c>
      <c r="B558" s="8"/>
      <c r="C558" s="23"/>
      <c r="D558" s="16"/>
      <c r="E558" s="12"/>
      <c r="F558" s="12"/>
      <c r="G558" s="12"/>
      <c r="H558" s="12"/>
      <c r="I558" s="12"/>
      <c r="J558" s="39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3"/>
    </row>
    <row r="559" spans="1:21" ht="12.75">
      <c r="A559" s="2">
        <v>41231</v>
      </c>
      <c r="B559" s="8"/>
      <c r="C559" s="23"/>
      <c r="D559" s="16"/>
      <c r="E559" s="12"/>
      <c r="F559" s="12"/>
      <c r="G559" s="12"/>
      <c r="H559" s="12"/>
      <c r="I559" s="12"/>
      <c r="J559" s="39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3"/>
    </row>
    <row r="560" spans="1:21" ht="12.75">
      <c r="A560" s="2">
        <v>41232</v>
      </c>
      <c r="B560" s="8"/>
      <c r="C560" s="23"/>
      <c r="D560" s="16"/>
      <c r="E560" s="12"/>
      <c r="F560" s="12"/>
      <c r="G560" s="12"/>
      <c r="H560" s="12"/>
      <c r="I560" s="12"/>
      <c r="J560" s="39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3"/>
    </row>
    <row r="561" spans="1:21" ht="12.75">
      <c r="A561" s="2">
        <v>41233</v>
      </c>
      <c r="B561" s="8"/>
      <c r="C561" s="23"/>
      <c r="D561" s="16"/>
      <c r="E561" s="12"/>
      <c r="F561" s="12"/>
      <c r="G561" s="12"/>
      <c r="H561" s="12"/>
      <c r="I561" s="12"/>
      <c r="J561" s="39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3"/>
    </row>
    <row r="562" spans="1:21" ht="12.75">
      <c r="A562" s="2">
        <v>41234</v>
      </c>
      <c r="B562" s="8"/>
      <c r="C562" s="23"/>
      <c r="D562" s="16"/>
      <c r="E562" s="12"/>
      <c r="F562" s="12"/>
      <c r="G562" s="12"/>
      <c r="H562" s="12"/>
      <c r="I562" s="12"/>
      <c r="J562" s="39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3"/>
    </row>
    <row r="563" spans="1:21" ht="12.75">
      <c r="A563" s="2">
        <v>41235</v>
      </c>
      <c r="B563" s="8"/>
      <c r="C563" s="23"/>
      <c r="D563" s="16"/>
      <c r="E563" s="12"/>
      <c r="F563" s="12"/>
      <c r="G563" s="12"/>
      <c r="H563" s="12"/>
      <c r="I563" s="12"/>
      <c r="J563" s="39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3"/>
    </row>
    <row r="564" spans="1:21" ht="12.75">
      <c r="A564" s="2">
        <v>41236</v>
      </c>
      <c r="B564" s="8"/>
      <c r="C564" s="23"/>
      <c r="D564" s="16"/>
      <c r="E564" s="12"/>
      <c r="F564" s="12"/>
      <c r="G564" s="12"/>
      <c r="H564" s="12"/>
      <c r="I564" s="12"/>
      <c r="J564" s="39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3"/>
    </row>
    <row r="565" spans="1:21" ht="12.75">
      <c r="A565" s="2">
        <v>41237</v>
      </c>
      <c r="B565" s="8"/>
      <c r="C565" s="23"/>
      <c r="D565" s="16"/>
      <c r="E565" s="12"/>
      <c r="F565" s="12"/>
      <c r="G565" s="12"/>
      <c r="H565" s="12"/>
      <c r="I565" s="12"/>
      <c r="J565" s="39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3"/>
    </row>
    <row r="566" spans="1:21" ht="12.75">
      <c r="A566" s="2">
        <v>41238</v>
      </c>
      <c r="B566" s="8"/>
      <c r="C566" s="23"/>
      <c r="D566" s="16"/>
      <c r="E566" s="12"/>
      <c r="F566" s="12"/>
      <c r="G566" s="12"/>
      <c r="H566" s="12"/>
      <c r="I566" s="12"/>
      <c r="J566" s="39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3"/>
    </row>
    <row r="567" spans="1:21" ht="12.75">
      <c r="A567" s="2">
        <v>41239</v>
      </c>
      <c r="B567" s="8"/>
      <c r="C567" s="23"/>
      <c r="D567" s="16"/>
      <c r="E567" s="12"/>
      <c r="F567" s="12"/>
      <c r="G567" s="12"/>
      <c r="H567" s="12"/>
      <c r="I567" s="12"/>
      <c r="J567" s="39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3"/>
    </row>
    <row r="568" spans="1:21" ht="12.75">
      <c r="A568" s="2">
        <v>41240</v>
      </c>
      <c r="B568" s="8"/>
      <c r="C568" s="23"/>
      <c r="D568" s="16"/>
      <c r="E568" s="12"/>
      <c r="F568" s="12"/>
      <c r="G568" s="12"/>
      <c r="H568" s="12"/>
      <c r="I568" s="12"/>
      <c r="J568" s="39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3"/>
    </row>
    <row r="569" spans="1:21" ht="12.75">
      <c r="A569" s="2">
        <v>41241</v>
      </c>
      <c r="B569" s="8"/>
      <c r="C569" s="23"/>
      <c r="D569" s="16"/>
      <c r="E569" s="12"/>
      <c r="F569" s="12"/>
      <c r="G569" s="12"/>
      <c r="H569" s="12"/>
      <c r="I569" s="12"/>
      <c r="J569" s="39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3"/>
    </row>
    <row r="570" spans="1:21" ht="12.75">
      <c r="A570" s="2">
        <v>41242</v>
      </c>
      <c r="B570" s="8"/>
      <c r="C570" s="23"/>
      <c r="D570" s="16"/>
      <c r="E570" s="12"/>
      <c r="F570" s="12"/>
      <c r="G570" s="12"/>
      <c r="H570" s="12"/>
      <c r="I570" s="12"/>
      <c r="J570" s="39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3"/>
    </row>
    <row r="571" spans="1:21" ht="13.5" thickBot="1">
      <c r="A571" s="2">
        <v>41243</v>
      </c>
      <c r="B571" s="8"/>
      <c r="C571" s="23"/>
      <c r="D571" s="16"/>
      <c r="E571" s="12"/>
      <c r="F571" s="12"/>
      <c r="G571" s="12"/>
      <c r="H571" s="12"/>
      <c r="I571" s="12"/>
      <c r="J571" s="39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3"/>
    </row>
    <row r="572" spans="1:21" ht="13.5" thickBot="1">
      <c r="A572" s="4" t="s">
        <v>143</v>
      </c>
      <c r="B572" s="20"/>
      <c r="C572" s="27">
        <f>SUM(C541:C571)</f>
        <v>0</v>
      </c>
      <c r="D572" s="27"/>
      <c r="E572" s="31">
        <f aca="true" t="shared" si="30" ref="E572:T572">SUM(E541:E571)</f>
        <v>0</v>
      </c>
      <c r="F572" s="31">
        <f t="shared" si="30"/>
        <v>0</v>
      </c>
      <c r="G572" s="31">
        <f t="shared" si="30"/>
        <v>0</v>
      </c>
      <c r="H572" s="31">
        <f t="shared" si="30"/>
        <v>0</v>
      </c>
      <c r="I572" s="31">
        <f t="shared" si="30"/>
        <v>0</v>
      </c>
      <c r="J572" s="40">
        <f t="shared" si="30"/>
        <v>0</v>
      </c>
      <c r="K572" s="31">
        <f t="shared" si="30"/>
        <v>0</v>
      </c>
      <c r="L572" s="31">
        <f t="shared" si="30"/>
        <v>0</v>
      </c>
      <c r="M572" s="31">
        <f t="shared" si="30"/>
        <v>0</v>
      </c>
      <c r="N572" s="31">
        <f t="shared" si="30"/>
        <v>0</v>
      </c>
      <c r="O572" s="31">
        <f t="shared" si="30"/>
        <v>0</v>
      </c>
      <c r="P572" s="31">
        <f t="shared" si="30"/>
        <v>0</v>
      </c>
      <c r="Q572" s="31">
        <f t="shared" si="30"/>
        <v>0</v>
      </c>
      <c r="R572" s="31">
        <f>SUM(R541:R571)</f>
        <v>0</v>
      </c>
      <c r="S572" s="31">
        <f>SUM(S541:S571)</f>
        <v>0</v>
      </c>
      <c r="T572" s="31">
        <f t="shared" si="30"/>
        <v>0</v>
      </c>
      <c r="U572" s="30">
        <f>SUM(E572:T572)-J572</f>
        <v>0</v>
      </c>
    </row>
    <row r="573" spans="1:21" ht="13.5" thickBot="1">
      <c r="A573" s="4" t="s">
        <v>144</v>
      </c>
      <c r="B573" s="20"/>
      <c r="C573" s="27">
        <f>C572+C538</f>
        <v>3450.3203535199996</v>
      </c>
      <c r="D573" s="27">
        <f>D572+D538</f>
        <v>808.9000000000001</v>
      </c>
      <c r="E573" s="31">
        <f>E572+E538</f>
        <v>4742.130000000001</v>
      </c>
      <c r="F573" s="31">
        <f aca="true" t="shared" si="31" ref="F573:T573">F572+F538</f>
        <v>395.76</v>
      </c>
      <c r="G573" s="31">
        <f t="shared" si="31"/>
        <v>2512.7733333333335</v>
      </c>
      <c r="H573" s="31">
        <f t="shared" si="31"/>
        <v>3210.6500000000005</v>
      </c>
      <c r="I573" s="31">
        <f t="shared" si="31"/>
        <v>1477.72</v>
      </c>
      <c r="J573" s="40">
        <f t="shared" si="31"/>
        <v>315.74908137097833</v>
      </c>
      <c r="K573" s="31">
        <f t="shared" si="31"/>
        <v>124.97000000000001</v>
      </c>
      <c r="L573" s="31">
        <f t="shared" si="31"/>
        <v>45</v>
      </c>
      <c r="M573" s="31">
        <f t="shared" si="31"/>
        <v>4335.88</v>
      </c>
      <c r="N573" s="31">
        <f t="shared" si="31"/>
        <v>336.17</v>
      </c>
      <c r="O573" s="31">
        <f t="shared" si="31"/>
        <v>0</v>
      </c>
      <c r="P573" s="31">
        <f t="shared" si="31"/>
        <v>4143.32</v>
      </c>
      <c r="Q573" s="31">
        <f t="shared" si="31"/>
        <v>1204.5</v>
      </c>
      <c r="R573" s="31">
        <f>R572+R538</f>
        <v>410.25</v>
      </c>
      <c r="S573" s="31">
        <f>S572+S538</f>
        <v>58.64</v>
      </c>
      <c r="T573" s="31">
        <f t="shared" si="31"/>
        <v>2482.6700000000005</v>
      </c>
      <c r="U573" s="30">
        <f>SUM(E573:T573)-J573</f>
        <v>25480.433333333334</v>
      </c>
    </row>
    <row r="574" ht="13.5" thickBot="1">
      <c r="A574" s="2"/>
    </row>
    <row r="575" ht="13.5" thickBot="1">
      <c r="A575" s="3" t="s">
        <v>13</v>
      </c>
    </row>
    <row r="576" ht="12.75">
      <c r="A576" s="2"/>
    </row>
    <row r="577" spans="1:21" ht="12.75">
      <c r="A577" s="2">
        <v>41244</v>
      </c>
      <c r="B577" s="8"/>
      <c r="C577" s="23"/>
      <c r="D577" s="16"/>
      <c r="E577" s="12"/>
      <c r="F577" s="12"/>
      <c r="G577" s="12"/>
      <c r="H577" s="12"/>
      <c r="I577" s="12"/>
      <c r="J577" s="39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3"/>
    </row>
    <row r="578" spans="1:21" ht="12.75">
      <c r="A578" s="2">
        <v>41245</v>
      </c>
      <c r="B578" s="8"/>
      <c r="C578" s="23"/>
      <c r="D578" s="16"/>
      <c r="E578" s="12"/>
      <c r="F578" s="12"/>
      <c r="G578" s="12"/>
      <c r="H578" s="12"/>
      <c r="I578" s="12"/>
      <c r="J578" s="39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3"/>
    </row>
    <row r="579" spans="1:21" ht="12.75">
      <c r="A579" s="2">
        <v>41246</v>
      </c>
      <c r="B579" s="8"/>
      <c r="C579" s="23"/>
      <c r="D579" s="16"/>
      <c r="E579" s="12"/>
      <c r="F579" s="12"/>
      <c r="G579" s="12"/>
      <c r="H579" s="12"/>
      <c r="I579" s="12"/>
      <c r="J579" s="39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3"/>
    </row>
    <row r="580" spans="1:21" ht="12.75">
      <c r="A580" s="2">
        <v>41247</v>
      </c>
      <c r="B580" s="8"/>
      <c r="C580" s="23"/>
      <c r="D580" s="16"/>
      <c r="E580" s="12"/>
      <c r="F580" s="12"/>
      <c r="G580" s="12"/>
      <c r="H580" s="12"/>
      <c r="I580" s="12"/>
      <c r="J580" s="39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3"/>
    </row>
    <row r="581" spans="1:21" ht="12.75">
      <c r="A581" s="2">
        <v>41248</v>
      </c>
      <c r="B581" s="8"/>
      <c r="C581" s="23"/>
      <c r="D581" s="16"/>
      <c r="E581" s="12"/>
      <c r="F581" s="12"/>
      <c r="G581" s="12"/>
      <c r="H581" s="12"/>
      <c r="I581" s="12"/>
      <c r="J581" s="39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3"/>
    </row>
    <row r="582" spans="1:21" ht="12.75">
      <c r="A582" s="2">
        <v>41249</v>
      </c>
      <c r="B582" s="8"/>
      <c r="C582" s="23"/>
      <c r="D582" s="16"/>
      <c r="E582" s="12"/>
      <c r="F582" s="12"/>
      <c r="G582" s="12"/>
      <c r="H582" s="12"/>
      <c r="I582" s="12"/>
      <c r="J582" s="39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3"/>
    </row>
    <row r="583" spans="1:21" ht="12.75">
      <c r="A583" s="2">
        <v>41250</v>
      </c>
      <c r="B583" s="8"/>
      <c r="C583" s="23"/>
      <c r="D583" s="16"/>
      <c r="E583" s="12"/>
      <c r="F583" s="12"/>
      <c r="G583" s="12"/>
      <c r="H583" s="12"/>
      <c r="I583" s="12"/>
      <c r="J583" s="39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3"/>
    </row>
    <row r="584" spans="1:21" ht="12.75">
      <c r="A584" s="2">
        <v>41251</v>
      </c>
      <c r="B584" s="8"/>
      <c r="C584" s="23"/>
      <c r="D584" s="16"/>
      <c r="E584" s="12"/>
      <c r="F584" s="12"/>
      <c r="G584" s="12"/>
      <c r="H584" s="12"/>
      <c r="I584" s="12"/>
      <c r="J584" s="39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3"/>
    </row>
    <row r="585" spans="1:21" ht="12.75">
      <c r="A585" s="2">
        <v>41252</v>
      </c>
      <c r="B585" s="8"/>
      <c r="C585" s="23"/>
      <c r="D585" s="16"/>
      <c r="E585" s="12"/>
      <c r="F585" s="12"/>
      <c r="G585" s="12"/>
      <c r="H585" s="12"/>
      <c r="I585" s="12"/>
      <c r="J585" s="39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3"/>
    </row>
    <row r="586" spans="1:21" ht="12.75">
      <c r="A586" s="2">
        <v>41253</v>
      </c>
      <c r="B586" s="8"/>
      <c r="C586" s="23"/>
      <c r="D586" s="16"/>
      <c r="E586" s="12"/>
      <c r="F586" s="12"/>
      <c r="G586" s="12"/>
      <c r="H586" s="12"/>
      <c r="I586" s="12"/>
      <c r="J586" s="39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3"/>
    </row>
    <row r="587" spans="1:21" ht="12.75">
      <c r="A587" s="2">
        <v>41254</v>
      </c>
      <c r="B587" s="8"/>
      <c r="C587" s="23"/>
      <c r="D587" s="16"/>
      <c r="E587" s="12"/>
      <c r="F587" s="12"/>
      <c r="G587" s="12"/>
      <c r="H587" s="12"/>
      <c r="I587" s="12"/>
      <c r="J587" s="39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3"/>
    </row>
    <row r="588" spans="1:21" ht="12.75">
      <c r="A588" s="2">
        <v>41255</v>
      </c>
      <c r="B588" s="8"/>
      <c r="C588" s="23"/>
      <c r="D588" s="16"/>
      <c r="E588" s="12"/>
      <c r="F588" s="12"/>
      <c r="G588" s="12"/>
      <c r="H588" s="12"/>
      <c r="I588" s="12"/>
      <c r="J588" s="39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3"/>
    </row>
    <row r="589" spans="1:21" ht="12.75">
      <c r="A589" s="2">
        <v>41256</v>
      </c>
      <c r="B589" s="8"/>
      <c r="C589" s="23"/>
      <c r="D589" s="16"/>
      <c r="E589" s="12"/>
      <c r="F589" s="12"/>
      <c r="G589" s="12"/>
      <c r="H589" s="12"/>
      <c r="I589" s="12"/>
      <c r="J589" s="39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3"/>
    </row>
    <row r="590" spans="1:21" ht="12.75">
      <c r="A590" s="2">
        <v>41257</v>
      </c>
      <c r="B590" s="8"/>
      <c r="C590" s="23"/>
      <c r="D590" s="16"/>
      <c r="E590" s="12"/>
      <c r="F590" s="12"/>
      <c r="G590" s="12"/>
      <c r="H590" s="12"/>
      <c r="I590" s="12"/>
      <c r="J590" s="39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3"/>
    </row>
    <row r="591" spans="1:21" ht="12.75">
      <c r="A591" s="2">
        <v>41258</v>
      </c>
      <c r="B591" s="8"/>
      <c r="C591" s="23"/>
      <c r="D591" s="16"/>
      <c r="E591" s="12"/>
      <c r="F591" s="12"/>
      <c r="G591" s="12"/>
      <c r="H591" s="12"/>
      <c r="I591" s="12"/>
      <c r="J591" s="39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3"/>
    </row>
    <row r="592" spans="1:21" ht="12.75">
      <c r="A592" s="2">
        <v>41259</v>
      </c>
      <c r="B592" s="8"/>
      <c r="C592" s="23"/>
      <c r="D592" s="16"/>
      <c r="E592" s="12"/>
      <c r="F592" s="12"/>
      <c r="G592" s="12"/>
      <c r="H592" s="12"/>
      <c r="I592" s="12"/>
      <c r="J592" s="39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3"/>
    </row>
    <row r="593" spans="1:21" ht="12.75">
      <c r="A593" s="2">
        <v>41260</v>
      </c>
      <c r="B593" s="8"/>
      <c r="C593" s="23"/>
      <c r="D593" s="16"/>
      <c r="E593" s="12"/>
      <c r="F593" s="12"/>
      <c r="G593" s="12"/>
      <c r="H593" s="12"/>
      <c r="I593" s="12"/>
      <c r="J593" s="39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3"/>
    </row>
    <row r="594" spans="1:21" ht="12.75">
      <c r="A594" s="2">
        <v>41261</v>
      </c>
      <c r="B594" s="8"/>
      <c r="C594" s="23"/>
      <c r="D594" s="16"/>
      <c r="E594" s="12"/>
      <c r="F594" s="12"/>
      <c r="G594" s="12"/>
      <c r="H594" s="12"/>
      <c r="I594" s="12"/>
      <c r="J594" s="39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3"/>
    </row>
    <row r="595" spans="1:21" ht="12.75">
      <c r="A595" s="2">
        <v>41262</v>
      </c>
      <c r="B595" s="8"/>
      <c r="C595" s="23"/>
      <c r="D595" s="16"/>
      <c r="E595" s="12"/>
      <c r="F595" s="12"/>
      <c r="G595" s="12"/>
      <c r="H595" s="12"/>
      <c r="I595" s="12"/>
      <c r="J595" s="39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3"/>
    </row>
    <row r="596" spans="1:21" ht="12.75">
      <c r="A596" s="2">
        <v>41263</v>
      </c>
      <c r="B596" s="8"/>
      <c r="C596" s="23"/>
      <c r="D596" s="16"/>
      <c r="E596" s="12"/>
      <c r="F596" s="12"/>
      <c r="G596" s="12"/>
      <c r="H596" s="12"/>
      <c r="I596" s="12"/>
      <c r="J596" s="39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3"/>
    </row>
    <row r="597" spans="1:21" ht="12.75">
      <c r="A597" s="2">
        <v>41264</v>
      </c>
      <c r="B597" s="8"/>
      <c r="C597" s="23"/>
      <c r="D597" s="16"/>
      <c r="E597" s="12"/>
      <c r="F597" s="12"/>
      <c r="G597" s="12"/>
      <c r="H597" s="12"/>
      <c r="I597" s="12"/>
      <c r="J597" s="39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3"/>
    </row>
    <row r="598" spans="1:21" ht="12.75">
      <c r="A598" s="2">
        <v>41265</v>
      </c>
      <c r="B598" s="8"/>
      <c r="C598" s="23"/>
      <c r="D598" s="16"/>
      <c r="E598" s="12"/>
      <c r="F598" s="12"/>
      <c r="G598" s="12"/>
      <c r="H598" s="12"/>
      <c r="I598" s="12"/>
      <c r="J598" s="39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3"/>
    </row>
    <row r="599" spans="1:21" ht="12.75">
      <c r="A599" s="2">
        <v>41266</v>
      </c>
      <c r="B599" s="8"/>
      <c r="C599" s="23"/>
      <c r="D599" s="16"/>
      <c r="E599" s="12"/>
      <c r="F599" s="12"/>
      <c r="G599" s="12"/>
      <c r="H599" s="12"/>
      <c r="I599" s="12"/>
      <c r="J599" s="39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3"/>
    </row>
    <row r="600" spans="1:21" ht="12.75">
      <c r="A600" s="2">
        <v>41267</v>
      </c>
      <c r="B600" s="8"/>
      <c r="C600" s="23"/>
      <c r="D600" s="16"/>
      <c r="E600" s="12"/>
      <c r="F600" s="12"/>
      <c r="G600" s="12"/>
      <c r="H600" s="12"/>
      <c r="I600" s="12"/>
      <c r="J600" s="39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3"/>
    </row>
    <row r="601" spans="1:21" ht="12.75">
      <c r="A601" s="2">
        <v>41268</v>
      </c>
      <c r="B601" s="8"/>
      <c r="C601" s="23"/>
      <c r="D601" s="16"/>
      <c r="E601" s="12"/>
      <c r="F601" s="12"/>
      <c r="G601" s="12"/>
      <c r="H601" s="12"/>
      <c r="I601" s="12"/>
      <c r="J601" s="39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3"/>
    </row>
    <row r="602" spans="1:21" ht="12.75">
      <c r="A602" s="2">
        <v>41269</v>
      </c>
      <c r="B602" s="8"/>
      <c r="C602" s="23"/>
      <c r="D602" s="16"/>
      <c r="E602" s="12"/>
      <c r="F602" s="12"/>
      <c r="G602" s="12"/>
      <c r="H602" s="12"/>
      <c r="I602" s="12"/>
      <c r="J602" s="39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3"/>
    </row>
    <row r="603" spans="1:21" ht="12.75">
      <c r="A603" s="2">
        <v>41270</v>
      </c>
      <c r="B603" s="8"/>
      <c r="C603" s="23"/>
      <c r="D603" s="16"/>
      <c r="E603" s="12"/>
      <c r="F603" s="12"/>
      <c r="G603" s="12"/>
      <c r="H603" s="12"/>
      <c r="I603" s="12"/>
      <c r="J603" s="39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3"/>
    </row>
    <row r="604" spans="1:21" ht="12.75">
      <c r="A604" s="2">
        <v>41271</v>
      </c>
      <c r="B604" s="8"/>
      <c r="C604" s="23"/>
      <c r="D604" s="16"/>
      <c r="E604" s="12"/>
      <c r="F604" s="12"/>
      <c r="G604" s="12"/>
      <c r="H604" s="12"/>
      <c r="I604" s="12"/>
      <c r="J604" s="39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3"/>
    </row>
    <row r="605" spans="1:21" ht="12.75">
      <c r="A605" s="2">
        <v>41272</v>
      </c>
      <c r="B605" s="8"/>
      <c r="C605" s="23"/>
      <c r="D605" s="16"/>
      <c r="E605" s="12"/>
      <c r="F605" s="12"/>
      <c r="G605" s="12"/>
      <c r="H605" s="12"/>
      <c r="I605" s="12"/>
      <c r="J605" s="39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3"/>
    </row>
    <row r="606" spans="1:21" ht="12.75">
      <c r="A606" s="2">
        <v>41273</v>
      </c>
      <c r="B606" s="8"/>
      <c r="C606" s="23"/>
      <c r="D606" s="16"/>
      <c r="E606" s="12"/>
      <c r="F606" s="12"/>
      <c r="G606" s="12"/>
      <c r="H606" s="12"/>
      <c r="I606" s="12"/>
      <c r="J606" s="39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3"/>
    </row>
    <row r="607" spans="1:21" ht="13.5" thickBot="1">
      <c r="A607" s="2">
        <v>41274</v>
      </c>
      <c r="B607" s="8"/>
      <c r="C607" s="23"/>
      <c r="D607" s="16"/>
      <c r="E607" s="12"/>
      <c r="F607" s="12"/>
      <c r="G607" s="12"/>
      <c r="H607" s="12"/>
      <c r="I607" s="12"/>
      <c r="J607" s="39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3"/>
    </row>
    <row r="608" spans="1:21" ht="13.5" thickBot="1">
      <c r="A608" s="4" t="s">
        <v>143</v>
      </c>
      <c r="B608" s="20"/>
      <c r="C608" s="27">
        <f>SUM(C577:C607)</f>
        <v>0</v>
      </c>
      <c r="D608" s="27"/>
      <c r="E608" s="31">
        <f aca="true" t="shared" si="32" ref="E608:T608">SUM(E577:E607)</f>
        <v>0</v>
      </c>
      <c r="F608" s="31">
        <f t="shared" si="32"/>
        <v>0</v>
      </c>
      <c r="G608" s="31">
        <f t="shared" si="32"/>
        <v>0</v>
      </c>
      <c r="H608" s="31">
        <f t="shared" si="32"/>
        <v>0</v>
      </c>
      <c r="I608" s="31">
        <f t="shared" si="32"/>
        <v>0</v>
      </c>
      <c r="J608" s="40">
        <f t="shared" si="32"/>
        <v>0</v>
      </c>
      <c r="K608" s="31">
        <f t="shared" si="32"/>
        <v>0</v>
      </c>
      <c r="L608" s="31">
        <f t="shared" si="32"/>
        <v>0</v>
      </c>
      <c r="M608" s="31">
        <f t="shared" si="32"/>
        <v>0</v>
      </c>
      <c r="N608" s="31">
        <f t="shared" si="32"/>
        <v>0</v>
      </c>
      <c r="O608" s="31">
        <f t="shared" si="32"/>
        <v>0</v>
      </c>
      <c r="P608" s="31">
        <f t="shared" si="32"/>
        <v>0</v>
      </c>
      <c r="Q608" s="31">
        <f t="shared" si="32"/>
        <v>0</v>
      </c>
      <c r="R608" s="31">
        <f>SUM(R577:R607)</f>
        <v>0</v>
      </c>
      <c r="S608" s="31">
        <f>SUM(S577:S607)</f>
        <v>0</v>
      </c>
      <c r="T608" s="31">
        <f t="shared" si="32"/>
        <v>0</v>
      </c>
      <c r="U608" s="30">
        <f>SUM(E608:T608)-J608</f>
        <v>0</v>
      </c>
    </row>
    <row r="609" spans="1:21" ht="13.5" thickBot="1">
      <c r="A609" s="4" t="s">
        <v>144</v>
      </c>
      <c r="B609" s="20"/>
      <c r="C609" s="27">
        <f>C608+C573</f>
        <v>3450.3203535199996</v>
      </c>
      <c r="D609" s="27">
        <f>D608+D573</f>
        <v>808.9000000000001</v>
      </c>
      <c r="E609" s="31">
        <f>E608+E573</f>
        <v>4742.130000000001</v>
      </c>
      <c r="F609" s="31">
        <f aca="true" t="shared" si="33" ref="F609:T609">F608+F573</f>
        <v>395.76</v>
      </c>
      <c r="G609" s="31">
        <f t="shared" si="33"/>
        <v>2512.7733333333335</v>
      </c>
      <c r="H609" s="31">
        <f t="shared" si="33"/>
        <v>3210.6500000000005</v>
      </c>
      <c r="I609" s="31">
        <f t="shared" si="33"/>
        <v>1477.72</v>
      </c>
      <c r="J609" s="40">
        <f t="shared" si="33"/>
        <v>315.74908137097833</v>
      </c>
      <c r="K609" s="31">
        <f t="shared" si="33"/>
        <v>124.97000000000001</v>
      </c>
      <c r="L609" s="31">
        <f t="shared" si="33"/>
        <v>45</v>
      </c>
      <c r="M609" s="31">
        <f t="shared" si="33"/>
        <v>4335.88</v>
      </c>
      <c r="N609" s="31">
        <f t="shared" si="33"/>
        <v>336.17</v>
      </c>
      <c r="O609" s="31">
        <f t="shared" si="33"/>
        <v>0</v>
      </c>
      <c r="P609" s="31">
        <f t="shared" si="33"/>
        <v>4143.32</v>
      </c>
      <c r="Q609" s="31">
        <f t="shared" si="33"/>
        <v>1204.5</v>
      </c>
      <c r="R609" s="31">
        <f>R608+R573</f>
        <v>410.25</v>
      </c>
      <c r="S609" s="31">
        <f>S608+S573</f>
        <v>58.64</v>
      </c>
      <c r="T609" s="31">
        <f t="shared" si="33"/>
        <v>2482.6700000000005</v>
      </c>
      <c r="U609" s="30">
        <f>SUM(E609:T609)-J609</f>
        <v>25480.433333333334</v>
      </c>
    </row>
  </sheetData>
  <sheetProtection/>
  <printOptions/>
  <pageMargins left="0.07874015748031496" right="0.03937007874015748" top="0.03937007874015748" bottom="0.03937007874015748" header="0" footer="0.31496062992125984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1" sqref="C1"/>
    </sheetView>
  </sheetViews>
  <sheetFormatPr defaultColWidth="11.421875" defaultRowHeight="12.75"/>
  <sheetData>
    <row r="1" spans="1:4" ht="12.75">
      <c r="A1" t="s">
        <v>109</v>
      </c>
      <c r="B1" t="s">
        <v>107</v>
      </c>
      <c r="C1" t="s">
        <v>108</v>
      </c>
      <c r="D1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CAUEAUPER</cp:lastModifiedBy>
  <cp:lastPrinted>2012-06-20T17:35:09Z</cp:lastPrinted>
  <dcterms:created xsi:type="dcterms:W3CDTF">2004-11-18T15:13:53Z</dcterms:created>
  <dcterms:modified xsi:type="dcterms:W3CDTF">2012-06-20T17:36:34Z</dcterms:modified>
  <cp:category/>
  <cp:version/>
  <cp:contentType/>
  <cp:contentStatus/>
</cp:coreProperties>
</file>